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Siew Ling\pengurus penyelidikan\MyRA\"/>
    </mc:Choice>
  </mc:AlternateContent>
  <xr:revisionPtr revIDLastSave="0" documentId="8_{19CFA074-17E7-4648-8C9E-34D17BBE4A31}" xr6:coauthVersionLast="31" xr6:coauthVersionMax="31" xr10:uidLastSave="{00000000-0000-0000-0000-000000000000}"/>
  <bookViews>
    <workbookView xWindow="0" yWindow="0" windowWidth="19200" windowHeight="8210" activeTab="1" xr2:uid="{00000000-000D-0000-FFFF-FFFF00000000}"/>
  </bookViews>
  <sheets>
    <sheet name="General" sheetId="1" r:id="rId1"/>
    <sheet name="Detail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2" l="1"/>
  <c r="AH22" i="2"/>
  <c r="G100" i="1" l="1"/>
  <c r="G99" i="1"/>
  <c r="G98" i="1"/>
  <c r="G97" i="1"/>
  <c r="G96" i="1"/>
  <c r="G95" i="1"/>
  <c r="G94" i="1"/>
  <c r="G93" i="1"/>
  <c r="D99" i="1"/>
  <c r="D98" i="1"/>
  <c r="D97" i="1"/>
  <c r="D96" i="1"/>
  <c r="D95" i="1"/>
  <c r="D94" i="1"/>
  <c r="D93" i="1"/>
  <c r="M23" i="2"/>
  <c r="D100" i="1"/>
  <c r="AH135" i="2"/>
  <c r="AK135" i="2" s="1"/>
  <c r="AH130" i="2"/>
  <c r="AH128" i="2"/>
  <c r="AH127" i="2"/>
  <c r="AH126" i="2"/>
  <c r="AH125" i="2"/>
  <c r="AH123" i="2"/>
  <c r="AH122" i="2"/>
  <c r="AH121" i="2"/>
  <c r="AH118" i="2"/>
  <c r="AH117" i="2"/>
  <c r="J135" i="2"/>
  <c r="AE139" i="2"/>
  <c r="Y139" i="2"/>
  <c r="AM135" i="2"/>
  <c r="AM139" i="2"/>
  <c r="AI135" i="2"/>
  <c r="AI139" i="2" s="1"/>
  <c r="AG135" i="2"/>
  <c r="J130" i="2"/>
  <c r="Y131" i="2"/>
  <c r="Z131" i="2"/>
  <c r="AE130" i="2"/>
  <c r="AM130" i="2"/>
  <c r="AE128" i="2"/>
  <c r="AE127" i="2"/>
  <c r="AM127" i="2"/>
  <c r="AE126" i="2"/>
  <c r="AM126" i="2"/>
  <c r="AE125" i="2"/>
  <c r="AM125" i="2"/>
  <c r="AE123" i="2"/>
  <c r="AM123" i="2"/>
  <c r="AE122" i="2"/>
  <c r="AM122" i="2"/>
  <c r="AE121" i="2"/>
  <c r="AE118" i="2"/>
  <c r="AM118" i="2"/>
  <c r="AE117" i="2"/>
  <c r="AH110" i="2"/>
  <c r="AH109" i="2"/>
  <c r="AH106" i="2"/>
  <c r="AH104" i="2"/>
  <c r="AH103" i="2"/>
  <c r="AH101" i="2"/>
  <c r="AF111" i="2"/>
  <c r="J111" i="2"/>
  <c r="Z113" i="2"/>
  <c r="Y113" i="2"/>
  <c r="AE111" i="2"/>
  <c r="AM111" i="2"/>
  <c r="AE110" i="2"/>
  <c r="AG110" i="2"/>
  <c r="AE109" i="2"/>
  <c r="AG109" i="2"/>
  <c r="AE106" i="2"/>
  <c r="AG106" i="2"/>
  <c r="AE104" i="2"/>
  <c r="AG104" i="2"/>
  <c r="AE103" i="2"/>
  <c r="AG103" i="2"/>
  <c r="AE101" i="2"/>
  <c r="L96" i="2"/>
  <c r="K96" i="2"/>
  <c r="J96" i="2"/>
  <c r="AH96" i="2"/>
  <c r="AH95" i="2"/>
  <c r="AH94" i="2"/>
  <c r="AH93" i="2"/>
  <c r="AH92" i="2"/>
  <c r="AH89" i="2"/>
  <c r="AH88" i="2"/>
  <c r="AH86" i="2"/>
  <c r="AH85" i="2"/>
  <c r="Z97" i="2"/>
  <c r="Y97" i="2"/>
  <c r="AE95" i="2"/>
  <c r="AM95" i="2"/>
  <c r="AE94" i="2"/>
  <c r="AM94" i="2"/>
  <c r="AE93" i="2"/>
  <c r="AM93" i="2"/>
  <c r="AE92" i="2"/>
  <c r="AM92" i="2"/>
  <c r="AE91" i="2"/>
  <c r="AM91" i="2"/>
  <c r="AE90" i="2"/>
  <c r="AH79" i="2"/>
  <c r="AH78" i="2"/>
  <c r="AH65" i="2"/>
  <c r="AH63" i="2"/>
  <c r="AH61" i="2"/>
  <c r="AH60" i="2"/>
  <c r="Z80" i="2"/>
  <c r="Y80" i="2"/>
  <c r="AE79" i="2"/>
  <c r="AM79" i="2"/>
  <c r="AE78" i="2"/>
  <c r="AM78" i="2"/>
  <c r="AF64" i="2"/>
  <c r="J64" i="2"/>
  <c r="AE64" i="2"/>
  <c r="AM64" i="2"/>
  <c r="AF62" i="2"/>
  <c r="J62" i="2"/>
  <c r="AE62" i="2"/>
  <c r="AH52" i="2"/>
  <c r="AH51" i="2"/>
  <c r="AH49" i="2"/>
  <c r="AH48" i="2"/>
  <c r="AH46" i="2"/>
  <c r="AH45" i="2"/>
  <c r="AH43" i="2"/>
  <c r="AH42" i="2"/>
  <c r="AH41" i="2"/>
  <c r="AH40" i="2"/>
  <c r="AH38" i="2"/>
  <c r="AH36" i="2"/>
  <c r="AH35" i="2"/>
  <c r="AH33" i="2"/>
  <c r="AH32" i="2"/>
  <c r="AH31" i="2"/>
  <c r="AH29" i="2"/>
  <c r="AH28" i="2"/>
  <c r="AF37" i="2" s="1"/>
  <c r="AG37" i="2" s="1"/>
  <c r="Z55" i="2"/>
  <c r="Y55" i="2"/>
  <c r="AE52" i="2"/>
  <c r="AM52" i="2"/>
  <c r="AE49" i="2"/>
  <c r="AM49" i="2"/>
  <c r="AE46" i="2"/>
  <c r="AM46" i="2"/>
  <c r="AE43" i="2"/>
  <c r="AM43" i="2"/>
  <c r="AE42" i="2"/>
  <c r="AM42" i="2"/>
  <c r="AE41" i="2"/>
  <c r="AM41" i="2"/>
  <c r="AE40" i="2"/>
  <c r="AM40" i="2"/>
  <c r="AE38" i="2"/>
  <c r="AM38" i="2"/>
  <c r="AE37" i="2"/>
  <c r="AM37" i="2"/>
  <c r="AE35" i="2"/>
  <c r="AM35" i="2"/>
  <c r="AE33" i="2"/>
  <c r="AM33" i="2"/>
  <c r="AE32" i="2"/>
  <c r="AM32" i="2"/>
  <c r="AE31" i="2"/>
  <c r="AM31" i="2"/>
  <c r="AE29" i="2"/>
  <c r="AM29" i="2"/>
  <c r="AE28" i="2"/>
  <c r="AH21" i="2"/>
  <c r="AH20" i="2"/>
  <c r="AH19" i="2"/>
  <c r="AH18" i="2"/>
  <c r="AH17" i="2"/>
  <c r="AH16" i="2"/>
  <c r="AH15" i="2"/>
  <c r="AH13" i="2"/>
  <c r="AH12" i="2"/>
  <c r="AH11" i="2"/>
  <c r="AH10" i="2"/>
  <c r="AH9" i="2"/>
  <c r="AH8" i="2"/>
  <c r="Z23" i="2"/>
  <c r="Y23" i="2"/>
  <c r="AE21" i="2"/>
  <c r="AG21" i="2"/>
  <c r="AE20" i="2"/>
  <c r="AG20" i="2"/>
  <c r="AE19" i="2"/>
  <c r="AG19" i="2"/>
  <c r="AE18" i="2"/>
  <c r="AM18" i="2"/>
  <c r="AE17" i="2"/>
  <c r="AM17" i="2"/>
  <c r="AE16" i="2"/>
  <c r="AM16" i="2"/>
  <c r="AE15" i="2"/>
  <c r="AM15" i="2"/>
  <c r="AA14" i="2"/>
  <c r="AE13" i="2"/>
  <c r="AE12" i="2"/>
  <c r="AM12" i="2"/>
  <c r="AE11" i="2"/>
  <c r="AM11" i="2"/>
  <c r="AE10" i="2"/>
  <c r="AE9" i="2"/>
  <c r="AE8" i="2"/>
  <c r="AD7" i="2"/>
  <c r="AA7" i="2"/>
  <c r="G96" i="2"/>
  <c r="U96" i="2"/>
  <c r="U95" i="2"/>
  <c r="U94" i="2"/>
  <c r="U93" i="2"/>
  <c r="U92" i="2"/>
  <c r="U89" i="2"/>
  <c r="U88" i="2"/>
  <c r="U86" i="2"/>
  <c r="U85" i="2"/>
  <c r="N97" i="2"/>
  <c r="M97" i="2"/>
  <c r="R95" i="2"/>
  <c r="R94" i="2"/>
  <c r="R93" i="2"/>
  <c r="R92" i="2"/>
  <c r="R91" i="2"/>
  <c r="R90" i="2"/>
  <c r="V79" i="2"/>
  <c r="V78" i="2"/>
  <c r="V75" i="2"/>
  <c r="V73" i="2"/>
  <c r="V68" i="2"/>
  <c r="V66" i="2"/>
  <c r="V65" i="2"/>
  <c r="V61" i="2"/>
  <c r="V60" i="2"/>
  <c r="N80" i="2"/>
  <c r="M80" i="2"/>
  <c r="R79" i="2"/>
  <c r="U79" i="2"/>
  <c r="R78" i="2"/>
  <c r="U78" i="2"/>
  <c r="T76" i="2"/>
  <c r="G76" i="2"/>
  <c r="T74" i="2"/>
  <c r="G74" i="2"/>
  <c r="T72" i="2"/>
  <c r="G72" i="2"/>
  <c r="T70" i="2"/>
  <c r="G70" i="2"/>
  <c r="T69" i="2"/>
  <c r="G69" i="2"/>
  <c r="S68" i="2"/>
  <c r="T67" i="2"/>
  <c r="G67" i="2"/>
  <c r="T62" i="2"/>
  <c r="G62" i="2"/>
  <c r="V54" i="2"/>
  <c r="V52" i="2"/>
  <c r="V51" i="2"/>
  <c r="V49" i="2"/>
  <c r="V48" i="2"/>
  <c r="V46" i="2"/>
  <c r="V45" i="2"/>
  <c r="V43" i="2"/>
  <c r="V42" i="2"/>
  <c r="V41" i="2"/>
  <c r="V40" i="2"/>
  <c r="V38" i="2"/>
  <c r="V35" i="2"/>
  <c r="V33" i="2"/>
  <c r="V32" i="2"/>
  <c r="V31" i="2"/>
  <c r="V29" i="2"/>
  <c r="V28" i="2"/>
  <c r="F53" i="2"/>
  <c r="V53" i="2" s="1"/>
  <c r="G51" i="2"/>
  <c r="G48" i="2"/>
  <c r="G45" i="2"/>
  <c r="T53" i="2"/>
  <c r="G53" i="2"/>
  <c r="S53" i="2"/>
  <c r="S52" i="2"/>
  <c r="S49" i="2"/>
  <c r="S46" i="2"/>
  <c r="S38" i="2"/>
  <c r="S35" i="2"/>
  <c r="S33" i="2"/>
  <c r="S32" i="2"/>
  <c r="S31" i="2"/>
  <c r="S29" i="2"/>
  <c r="S28" i="2"/>
  <c r="F37" i="2"/>
  <c r="AH37" i="2" s="1"/>
  <c r="N55" i="2"/>
  <c r="U35" i="2"/>
  <c r="M55" i="2"/>
  <c r="T22" i="2"/>
  <c r="T21" i="2"/>
  <c r="T20" i="2"/>
  <c r="T19" i="2"/>
  <c r="T18" i="2"/>
  <c r="T17" i="2"/>
  <c r="T16" i="2"/>
  <c r="T15" i="2"/>
  <c r="T13" i="2"/>
  <c r="T12" i="2"/>
  <c r="T11" i="2"/>
  <c r="T10" i="2"/>
  <c r="T9" i="2"/>
  <c r="T8" i="2"/>
  <c r="N23" i="2"/>
  <c r="Q22" i="2"/>
  <c r="Q21" i="2"/>
  <c r="S21" i="2"/>
  <c r="Q20" i="2"/>
  <c r="S20" i="2"/>
  <c r="Q19" i="2"/>
  <c r="S19" i="2"/>
  <c r="Q18" i="2"/>
  <c r="Q17" i="2"/>
  <c r="Q16" i="2"/>
  <c r="Q15" i="2"/>
  <c r="O14" i="2"/>
  <c r="Q13" i="2"/>
  <c r="Q12" i="2"/>
  <c r="Q11" i="2"/>
  <c r="Q10" i="2"/>
  <c r="Q9" i="2"/>
  <c r="Q8" i="2"/>
  <c r="O7" i="2"/>
  <c r="G111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N113" i="2"/>
  <c r="M113" i="2"/>
  <c r="R111" i="2"/>
  <c r="R110" i="2"/>
  <c r="R109" i="2"/>
  <c r="R106" i="2"/>
  <c r="R101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G136" i="2"/>
  <c r="G135" i="2"/>
  <c r="N131" i="2"/>
  <c r="M131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T135" i="2"/>
  <c r="T136" i="2"/>
  <c r="R136" i="2"/>
  <c r="U136" i="2"/>
  <c r="R135" i="2"/>
  <c r="U135" i="2"/>
  <c r="H135" i="2" s="1"/>
  <c r="N139" i="2"/>
  <c r="M139" i="2"/>
  <c r="AG18" i="2"/>
  <c r="K135" i="2"/>
  <c r="AM117" i="2"/>
  <c r="AM20" i="2"/>
  <c r="AM103" i="2"/>
  <c r="AM121" i="2"/>
  <c r="AM131" i="2"/>
  <c r="AM128" i="2"/>
  <c r="AM104" i="2"/>
  <c r="AM109" i="2"/>
  <c r="AM110" i="2"/>
  <c r="AE113" i="2"/>
  <c r="AM106" i="2"/>
  <c r="AK130" i="2"/>
  <c r="AL130" i="2" s="1"/>
  <c r="AG130" i="2"/>
  <c r="AE131" i="2"/>
  <c r="AI130" i="2"/>
  <c r="AJ130" i="2" s="1"/>
  <c r="L130" i="2" s="1"/>
  <c r="AE97" i="2"/>
  <c r="AK111" i="2"/>
  <c r="AL111" i="2"/>
  <c r="AM101" i="2"/>
  <c r="AG101" i="2"/>
  <c r="AI111" i="2"/>
  <c r="AM90" i="2"/>
  <c r="AM97" i="2"/>
  <c r="AG35" i="2"/>
  <c r="AE55" i="2"/>
  <c r="AE80" i="2"/>
  <c r="AM62" i="2"/>
  <c r="AM80" i="2"/>
  <c r="AM8" i="2"/>
  <c r="AM9" i="2"/>
  <c r="AM13" i="2"/>
  <c r="AM21" i="2"/>
  <c r="AM10" i="2"/>
  <c r="AM19" i="2"/>
  <c r="AM28" i="2"/>
  <c r="AM55" i="2"/>
  <c r="AE7" i="2"/>
  <c r="AE23" i="2"/>
  <c r="R97" i="2"/>
  <c r="R80" i="2"/>
  <c r="V136" i="2"/>
  <c r="I136" i="2"/>
  <c r="S40" i="2"/>
  <c r="S41" i="2"/>
  <c r="S42" i="2"/>
  <c r="S43" i="2"/>
  <c r="S18" i="2"/>
  <c r="S22" i="2"/>
  <c r="Q7" i="2"/>
  <c r="Q23" i="2"/>
  <c r="H136" i="2"/>
  <c r="U111" i="2"/>
  <c r="R113" i="2"/>
  <c r="S136" i="2"/>
  <c r="S135" i="2"/>
  <c r="R131" i="2"/>
  <c r="AM113" i="2"/>
  <c r="AJ111" i="2"/>
  <c r="L111" i="2"/>
  <c r="K111" i="2"/>
  <c r="AM23" i="2"/>
  <c r="S55" i="2"/>
  <c r="V111" i="2"/>
  <c r="I111" i="2"/>
  <c r="H111" i="2"/>
  <c r="F87" i="2"/>
  <c r="F91" i="2" s="1"/>
  <c r="F84" i="2"/>
  <c r="AH84" i="2" s="1"/>
  <c r="F64" i="2"/>
  <c r="AH64" i="2" s="1"/>
  <c r="F14" i="2"/>
  <c r="F7" i="2"/>
  <c r="D87" i="1"/>
  <c r="D83" i="1"/>
  <c r="D79" i="1"/>
  <c r="D75" i="1"/>
  <c r="D71" i="1"/>
  <c r="D67" i="1"/>
  <c r="D56" i="1" s="1"/>
  <c r="D63" i="1"/>
  <c r="D59" i="1"/>
  <c r="D48" i="1"/>
  <c r="D43" i="1"/>
  <c r="D37" i="1"/>
  <c r="D3" i="2" s="1"/>
  <c r="D33" i="1"/>
  <c r="D30" i="1"/>
  <c r="D27" i="1"/>
  <c r="D24" i="1"/>
  <c r="D19" i="1"/>
  <c r="D16" i="1"/>
  <c r="D13" i="1"/>
  <c r="D10" i="1"/>
  <c r="D53" i="1" l="1"/>
  <c r="T7" i="2"/>
  <c r="V135" i="2"/>
  <c r="I135" i="2" s="1"/>
  <c r="U139" i="2"/>
  <c r="V139" i="2" s="1"/>
  <c r="I139" i="2" s="1"/>
  <c r="F99" i="1" s="1"/>
  <c r="AH87" i="2"/>
  <c r="U87" i="2"/>
  <c r="F90" i="2"/>
  <c r="U90" i="2" s="1"/>
  <c r="U84" i="2"/>
  <c r="W53" i="2"/>
  <c r="X53" i="2" s="1"/>
  <c r="I53" i="2" s="1"/>
  <c r="AH14" i="2"/>
  <c r="AH7" i="2"/>
  <c r="D23" i="1"/>
  <c r="AJ139" i="2"/>
  <c r="L139" i="2" s="1"/>
  <c r="I99" i="1" s="1"/>
  <c r="K139" i="2"/>
  <c r="H99" i="1" s="1"/>
  <c r="AL135" i="2"/>
  <c r="AK139" i="2"/>
  <c r="AL139" i="2" s="1"/>
  <c r="J99" i="1" s="1"/>
  <c r="AJ135" i="2"/>
  <c r="L135" i="2" s="1"/>
  <c r="K130" i="2"/>
  <c r="AH91" i="2"/>
  <c r="U91" i="2"/>
  <c r="AK64" i="2"/>
  <c r="AL64" i="2" s="1"/>
  <c r="AI64" i="2"/>
  <c r="J37" i="2"/>
  <c r="AI37" i="2"/>
  <c r="AJ37" i="2" s="1"/>
  <c r="L37" i="2" s="1"/>
  <c r="T14" i="2"/>
  <c r="AK37" i="2"/>
  <c r="AL37" i="2" s="1"/>
  <c r="D55" i="1"/>
  <c r="F71" i="2" s="1"/>
  <c r="V71" i="2" s="1"/>
  <c r="D57" i="1"/>
  <c r="D52" i="1" s="1"/>
  <c r="D54" i="1"/>
  <c r="F76" i="2" s="1"/>
  <c r="V76" i="2" s="1"/>
  <c r="W76" i="2" s="1"/>
  <c r="H76" i="2" s="1"/>
  <c r="D9" i="1"/>
  <c r="H139" i="2" l="1"/>
  <c r="E99" i="1" s="1"/>
  <c r="AH90" i="2"/>
  <c r="D40" i="1"/>
  <c r="D4" i="2" s="1"/>
  <c r="T49" i="2" s="1"/>
  <c r="U49" i="2" s="1"/>
  <c r="D2" i="2"/>
  <c r="AN17" i="2" s="1"/>
  <c r="AG17" i="2" s="1"/>
  <c r="AI17" i="2" s="1"/>
  <c r="H53" i="2"/>
  <c r="D41" i="1"/>
  <c r="K64" i="2"/>
  <c r="AJ64" i="2"/>
  <c r="L64" i="2" s="1"/>
  <c r="K37" i="2"/>
  <c r="X76" i="2"/>
  <c r="I76" i="2" s="1"/>
  <c r="F74" i="2"/>
  <c r="V74" i="2" s="1"/>
  <c r="W74" i="2" s="1"/>
  <c r="X74" i="2" s="1"/>
  <c r="I74" i="2" s="1"/>
  <c r="F72" i="2"/>
  <c r="V72" i="2" s="1"/>
  <c r="W72" i="2" s="1"/>
  <c r="H72" i="2" s="1"/>
  <c r="D47" i="1"/>
  <c r="F70" i="2" s="1"/>
  <c r="V70" i="2" s="1"/>
  <c r="X72" i="2" l="1"/>
  <c r="I72" i="2" s="1"/>
  <c r="S62" i="2"/>
  <c r="V62" i="2" s="1"/>
  <c r="W62" i="2" s="1"/>
  <c r="X62" i="2" s="1"/>
  <c r="I62" i="2" s="1"/>
  <c r="AF20" i="2"/>
  <c r="AI20" i="2" s="1"/>
  <c r="R17" i="2"/>
  <c r="G17" i="2" s="1"/>
  <c r="AF93" i="2"/>
  <c r="AG93" i="2" s="1"/>
  <c r="W49" i="2"/>
  <c r="H49" i="2" s="1"/>
  <c r="T29" i="2"/>
  <c r="W29" i="2" s="1"/>
  <c r="F62" i="2"/>
  <c r="AH62" i="2" s="1"/>
  <c r="AK62" i="2" s="1"/>
  <c r="AF10" i="2"/>
  <c r="AK10" i="2" s="1"/>
  <c r="AL10" i="2" s="1"/>
  <c r="S95" i="2"/>
  <c r="V95" i="2" s="1"/>
  <c r="S123" i="2"/>
  <c r="G123" i="2" s="1"/>
  <c r="S94" i="2"/>
  <c r="T94" i="2" s="1"/>
  <c r="AF123" i="2"/>
  <c r="J123" i="2" s="1"/>
  <c r="AF46" i="2"/>
  <c r="AI46" i="2" s="1"/>
  <c r="AJ46" i="2" s="1"/>
  <c r="L46" i="2" s="1"/>
  <c r="T35" i="2"/>
  <c r="G35" i="2" s="1"/>
  <c r="S92" i="2"/>
  <c r="G92" i="2" s="1"/>
  <c r="AF128" i="2"/>
  <c r="AI128" i="2" s="1"/>
  <c r="AF104" i="2"/>
  <c r="J104" i="2" s="1"/>
  <c r="AF15" i="2"/>
  <c r="J15" i="2" s="1"/>
  <c r="R19" i="2"/>
  <c r="U19" i="2" s="1"/>
  <c r="AF121" i="2"/>
  <c r="AG121" i="2" s="1"/>
  <c r="AF29" i="2"/>
  <c r="J29" i="2" s="1"/>
  <c r="AF103" i="2"/>
  <c r="AK103" i="2" s="1"/>
  <c r="AL103" i="2" s="1"/>
  <c r="AF33" i="2"/>
  <c r="J33" i="2" s="1"/>
  <c r="S126" i="2"/>
  <c r="G126" i="2" s="1"/>
  <c r="W17" i="2"/>
  <c r="S17" i="2" s="1"/>
  <c r="U17" i="2" s="1"/>
  <c r="H17" i="2" s="1"/>
  <c r="R11" i="2"/>
  <c r="S11" i="2" s="1"/>
  <c r="AF32" i="2"/>
  <c r="AG32" i="2" s="1"/>
  <c r="T40" i="2"/>
  <c r="U40" i="2" s="1"/>
  <c r="AF92" i="2"/>
  <c r="AI92" i="2" s="1"/>
  <c r="T46" i="2"/>
  <c r="AF49" i="2"/>
  <c r="AI49" i="2" s="1"/>
  <c r="K49" i="2" s="1"/>
  <c r="AF52" i="2"/>
  <c r="J52" i="2" s="1"/>
  <c r="T52" i="2"/>
  <c r="G52" i="2" s="1"/>
  <c r="G49" i="2"/>
  <c r="AF110" i="2"/>
  <c r="AK110" i="2" s="1"/>
  <c r="AL110" i="2" s="1"/>
  <c r="AF106" i="2"/>
  <c r="AK106" i="2" s="1"/>
  <c r="AL106" i="2" s="1"/>
  <c r="AF109" i="2"/>
  <c r="J109" i="2" s="1"/>
  <c r="W15" i="2"/>
  <c r="S15" i="2" s="1"/>
  <c r="U15" i="2" s="1"/>
  <c r="V15" i="2" s="1"/>
  <c r="I15" i="2" s="1"/>
  <c r="AF127" i="2"/>
  <c r="AI127" i="2" s="1"/>
  <c r="Q106" i="2"/>
  <c r="G106" i="2" s="1"/>
  <c r="AN16" i="2"/>
  <c r="AG16" i="2" s="1"/>
  <c r="AI16" i="2" s="1"/>
  <c r="AK16" i="2" s="1"/>
  <c r="AL16" i="2" s="1"/>
  <c r="Q101" i="2"/>
  <c r="G101" i="2" s="1"/>
  <c r="AF18" i="2"/>
  <c r="AI18" i="2" s="1"/>
  <c r="T32" i="2"/>
  <c r="W32" i="2" s="1"/>
  <c r="S119" i="2"/>
  <c r="V119" i="2" s="1"/>
  <c r="S91" i="2"/>
  <c r="G91" i="2" s="1"/>
  <c r="AF40" i="2"/>
  <c r="AK40" i="2" s="1"/>
  <c r="AL40" i="2" s="1"/>
  <c r="AF12" i="2"/>
  <c r="J12" i="2" s="1"/>
  <c r="S128" i="2"/>
  <c r="T128" i="2" s="1"/>
  <c r="R18" i="2"/>
  <c r="U18" i="2" s="1"/>
  <c r="T41" i="2"/>
  <c r="G41" i="2" s="1"/>
  <c r="S93" i="2"/>
  <c r="G93" i="2" s="1"/>
  <c r="AF79" i="2"/>
  <c r="J79" i="2" s="1"/>
  <c r="AF21" i="2"/>
  <c r="AI21" i="2" s="1"/>
  <c r="T43" i="2"/>
  <c r="W43" i="2" s="1"/>
  <c r="T33" i="2"/>
  <c r="G33" i="2" s="1"/>
  <c r="S125" i="2"/>
  <c r="T125" i="2" s="1"/>
  <c r="R8" i="2"/>
  <c r="G8" i="2" s="1"/>
  <c r="T31" i="2"/>
  <c r="G31" i="2" s="1"/>
  <c r="T79" i="2"/>
  <c r="G79" i="2" s="1"/>
  <c r="AF11" i="2"/>
  <c r="AK11" i="2" s="1"/>
  <c r="AL11" i="2" s="1"/>
  <c r="AF125" i="2"/>
  <c r="AK125" i="2" s="1"/>
  <c r="AL125" i="2" s="1"/>
  <c r="R9" i="2"/>
  <c r="U9" i="2" s="1"/>
  <c r="S120" i="2"/>
  <c r="T120" i="2" s="1"/>
  <c r="AF90" i="2"/>
  <c r="J90" i="2" s="1"/>
  <c r="AF35" i="2"/>
  <c r="AI35" i="2" s="1"/>
  <c r="T42" i="2"/>
  <c r="G42" i="2" s="1"/>
  <c r="AF28" i="2"/>
  <c r="AG28" i="2" s="1"/>
  <c r="AF117" i="2"/>
  <c r="AG117" i="2" s="1"/>
  <c r="W16" i="2"/>
  <c r="S16" i="2" s="1"/>
  <c r="U16" i="2" s="1"/>
  <c r="V16" i="2" s="1"/>
  <c r="I16" i="2" s="1"/>
  <c r="Q109" i="2"/>
  <c r="U109" i="2" s="1"/>
  <c r="S122" i="2"/>
  <c r="G122" i="2" s="1"/>
  <c r="AN15" i="2"/>
  <c r="AG15" i="2" s="1"/>
  <c r="AI15" i="2" s="1"/>
  <c r="K15" i="2" s="1"/>
  <c r="AF94" i="2"/>
  <c r="J94" i="2" s="1"/>
  <c r="AF41" i="2"/>
  <c r="AI41" i="2" s="1"/>
  <c r="AF42" i="2"/>
  <c r="AI42" i="2" s="1"/>
  <c r="S129" i="2"/>
  <c r="V129" i="2" s="1"/>
  <c r="R10" i="2"/>
  <c r="G10" i="2" s="1"/>
  <c r="S117" i="2"/>
  <c r="V117" i="2" s="1"/>
  <c r="AF19" i="2"/>
  <c r="J19" i="2" s="1"/>
  <c r="AF101" i="2"/>
  <c r="J101" i="2" s="1"/>
  <c r="AF91" i="2"/>
  <c r="J91" i="2" s="1"/>
  <c r="S127" i="2"/>
  <c r="G127" i="2" s="1"/>
  <c r="S118" i="2"/>
  <c r="V118" i="2" s="1"/>
  <c r="AF31" i="2"/>
  <c r="AI31" i="2" s="1"/>
  <c r="R21" i="2"/>
  <c r="G21" i="2" s="1"/>
  <c r="AF8" i="2"/>
  <c r="J8" i="2" s="1"/>
  <c r="AF38" i="2"/>
  <c r="AG38" i="2" s="1"/>
  <c r="R13" i="2"/>
  <c r="S13" i="2" s="1"/>
  <c r="AF16" i="2"/>
  <c r="J16" i="2" s="1"/>
  <c r="Q110" i="2"/>
  <c r="S110" i="2" s="1"/>
  <c r="AF78" i="2"/>
  <c r="AG78" i="2" s="1"/>
  <c r="S69" i="2"/>
  <c r="R16" i="2"/>
  <c r="G16" i="2" s="1"/>
  <c r="S90" i="2"/>
  <c r="G90" i="2" s="1"/>
  <c r="AF95" i="2"/>
  <c r="J95" i="2" s="1"/>
  <c r="F67" i="2"/>
  <c r="V67" i="2" s="1"/>
  <c r="W67" i="2" s="1"/>
  <c r="X67" i="2" s="1"/>
  <c r="I67" i="2" s="1"/>
  <c r="R20" i="2"/>
  <c r="U20" i="2" s="1"/>
  <c r="S121" i="2"/>
  <c r="T121" i="2" s="1"/>
  <c r="AF13" i="2"/>
  <c r="J13" i="2" s="1"/>
  <c r="R15" i="2"/>
  <c r="G15" i="2" s="1"/>
  <c r="T38" i="2"/>
  <c r="W38" i="2" s="1"/>
  <c r="AF17" i="2"/>
  <c r="J17" i="2" s="1"/>
  <c r="R22" i="2"/>
  <c r="U22" i="2" s="1"/>
  <c r="R12" i="2"/>
  <c r="G12" i="2" s="1"/>
  <c r="T78" i="2"/>
  <c r="G78" i="2" s="1"/>
  <c r="AF9" i="2"/>
  <c r="J9" i="2" s="1"/>
  <c r="AF122" i="2"/>
  <c r="AK122" i="2" s="1"/>
  <c r="AL122" i="2" s="1"/>
  <c r="AF118" i="2"/>
  <c r="AI118" i="2" s="1"/>
  <c r="S124" i="2"/>
  <c r="G124" i="2" s="1"/>
  <c r="T28" i="2"/>
  <c r="U28" i="2" s="1"/>
  <c r="S67" i="2"/>
  <c r="U67" i="2" s="1"/>
  <c r="AF126" i="2"/>
  <c r="J126" i="2" s="1"/>
  <c r="AF43" i="2"/>
  <c r="AG43" i="2" s="1"/>
  <c r="H74" i="2"/>
  <c r="F69" i="2"/>
  <c r="V69" i="2" s="1"/>
  <c r="W69" i="2" s="1"/>
  <c r="H69" i="2" s="1"/>
  <c r="U8" i="2"/>
  <c r="AI110" i="2"/>
  <c r="AK90" i="2"/>
  <c r="AI33" i="2"/>
  <c r="AG33" i="2"/>
  <c r="AI104" i="2"/>
  <c r="G95" i="2"/>
  <c r="AK17" i="2"/>
  <c r="AL17" i="2" s="1"/>
  <c r="K17" i="2"/>
  <c r="AJ17" i="2"/>
  <c r="L17" i="2" s="1"/>
  <c r="T92" i="2"/>
  <c r="J20" i="2"/>
  <c r="AK20" i="2" l="1"/>
  <c r="AL20" i="2" s="1"/>
  <c r="T91" i="2"/>
  <c r="AK94" i="2"/>
  <c r="AL94" i="2" s="1"/>
  <c r="G29" i="2"/>
  <c r="AI91" i="2"/>
  <c r="U101" i="2"/>
  <c r="H62" i="2"/>
  <c r="AI32" i="2"/>
  <c r="K32" i="2" s="1"/>
  <c r="J32" i="2"/>
  <c r="G19" i="2"/>
  <c r="G94" i="2"/>
  <c r="V92" i="2"/>
  <c r="H92" i="2" s="1"/>
  <c r="AK32" i="2"/>
  <c r="AL32" i="2" s="1"/>
  <c r="V94" i="2"/>
  <c r="W94" i="2" s="1"/>
  <c r="I94" i="2" s="1"/>
  <c r="AK33" i="2"/>
  <c r="AL33" i="2" s="1"/>
  <c r="AK49" i="2"/>
  <c r="AL49" i="2" s="1"/>
  <c r="AK93" i="2"/>
  <c r="AL93" i="2" s="1"/>
  <c r="AK123" i="2"/>
  <c r="AL123" i="2" s="1"/>
  <c r="AI10" i="2"/>
  <c r="AJ10" i="2" s="1"/>
  <c r="L10" i="2" s="1"/>
  <c r="AI123" i="2"/>
  <c r="K123" i="2" s="1"/>
  <c r="J93" i="2"/>
  <c r="AG10" i="2"/>
  <c r="U38" i="2"/>
  <c r="J18" i="2"/>
  <c r="AG123" i="2"/>
  <c r="AI93" i="2"/>
  <c r="AJ93" i="2" s="1"/>
  <c r="L93" i="2" s="1"/>
  <c r="J128" i="2"/>
  <c r="J10" i="2"/>
  <c r="AG118" i="2"/>
  <c r="J121" i="2"/>
  <c r="U31" i="2"/>
  <c r="AI62" i="2"/>
  <c r="K62" i="2" s="1"/>
  <c r="X49" i="2"/>
  <c r="I49" i="2" s="1"/>
  <c r="T95" i="2"/>
  <c r="AK29" i="2"/>
  <c r="AL29" i="2" s="1"/>
  <c r="G110" i="2"/>
  <c r="AG29" i="2"/>
  <c r="G43" i="2"/>
  <c r="V127" i="2"/>
  <c r="H127" i="2" s="1"/>
  <c r="J46" i="2"/>
  <c r="AG92" i="2"/>
  <c r="J92" i="2"/>
  <c r="AK104" i="2"/>
  <c r="AL104" i="2" s="1"/>
  <c r="V17" i="2"/>
  <c r="I17" i="2" s="1"/>
  <c r="W35" i="2"/>
  <c r="H35" i="2" s="1"/>
  <c r="G11" i="2"/>
  <c r="U29" i="2"/>
  <c r="V123" i="2"/>
  <c r="H123" i="2" s="1"/>
  <c r="T123" i="2"/>
  <c r="J103" i="2"/>
  <c r="AG46" i="2"/>
  <c r="AK46" i="2"/>
  <c r="AL46" i="2" s="1"/>
  <c r="K46" i="2"/>
  <c r="W40" i="2"/>
  <c r="X40" i="2" s="1"/>
  <c r="I40" i="2" s="1"/>
  <c r="V126" i="2"/>
  <c r="W126" i="2" s="1"/>
  <c r="I126" i="2" s="1"/>
  <c r="AI101" i="2"/>
  <c r="K101" i="2" s="1"/>
  <c r="AJ49" i="2"/>
  <c r="L49" i="2" s="1"/>
  <c r="AG49" i="2"/>
  <c r="J49" i="2"/>
  <c r="AK121" i="2"/>
  <c r="AL121" i="2" s="1"/>
  <c r="G40" i="2"/>
  <c r="AG128" i="2"/>
  <c r="T126" i="2"/>
  <c r="S106" i="2"/>
  <c r="AG52" i="2"/>
  <c r="AK52" i="2"/>
  <c r="AL52" i="2" s="1"/>
  <c r="AI121" i="2"/>
  <c r="AJ121" i="2" s="1"/>
  <c r="L121" i="2" s="1"/>
  <c r="AK128" i="2"/>
  <c r="AL128" i="2" s="1"/>
  <c r="U46" i="2"/>
  <c r="G46" i="2"/>
  <c r="W46" i="2"/>
  <c r="J43" i="2"/>
  <c r="G38" i="2"/>
  <c r="H16" i="2"/>
  <c r="AK92" i="2"/>
  <c r="AL92" i="2" s="1"/>
  <c r="AI126" i="2"/>
  <c r="AJ126" i="2" s="1"/>
  <c r="L126" i="2" s="1"/>
  <c r="U11" i="2"/>
  <c r="H11" i="2" s="1"/>
  <c r="AI103" i="2"/>
  <c r="AJ103" i="2" s="1"/>
  <c r="L103" i="2" s="1"/>
  <c r="AI29" i="2"/>
  <c r="AJ29" i="2" s="1"/>
  <c r="L29" i="2" s="1"/>
  <c r="K16" i="2"/>
  <c r="S10" i="2"/>
  <c r="W78" i="2"/>
  <c r="H78" i="2" s="1"/>
  <c r="G20" i="2"/>
  <c r="G18" i="2"/>
  <c r="AI125" i="2"/>
  <c r="K125" i="2" s="1"/>
  <c r="AK21" i="2"/>
  <c r="AL21" i="2" s="1"/>
  <c r="U21" i="2"/>
  <c r="V21" i="2" s="1"/>
  <c r="I21" i="2" s="1"/>
  <c r="V91" i="2"/>
  <c r="H91" i="2" s="1"/>
  <c r="J35" i="2"/>
  <c r="AK91" i="2"/>
  <c r="AL91" i="2" s="1"/>
  <c r="U10" i="2"/>
  <c r="H10" i="2" s="1"/>
  <c r="U12" i="2"/>
  <c r="V12" i="2" s="1"/>
  <c r="I12" i="2" s="1"/>
  <c r="AI94" i="2"/>
  <c r="AJ94" i="2" s="1"/>
  <c r="L94" i="2" s="1"/>
  <c r="J125" i="2"/>
  <c r="S101" i="2"/>
  <c r="AK126" i="2"/>
  <c r="AL126" i="2" s="1"/>
  <c r="AK15" i="2"/>
  <c r="AL15" i="2" s="1"/>
  <c r="AG11" i="2"/>
  <c r="AG31" i="2"/>
  <c r="J118" i="2"/>
  <c r="AI109" i="2"/>
  <c r="AJ109" i="2" s="1"/>
  <c r="L109" i="2" s="1"/>
  <c r="V128" i="2"/>
  <c r="H128" i="2" s="1"/>
  <c r="AG126" i="2"/>
  <c r="J117" i="2"/>
  <c r="AK118" i="2"/>
  <c r="AL118" i="2" s="1"/>
  <c r="S12" i="2"/>
  <c r="AK109" i="2"/>
  <c r="AL109" i="2" s="1"/>
  <c r="G125" i="2"/>
  <c r="T129" i="2"/>
  <c r="AI79" i="2"/>
  <c r="K79" i="2" s="1"/>
  <c r="AI52" i="2"/>
  <c r="AJ52" i="2" s="1"/>
  <c r="L52" i="2" s="1"/>
  <c r="H15" i="2"/>
  <c r="U52" i="2"/>
  <c r="W52" i="2"/>
  <c r="T93" i="2"/>
  <c r="W79" i="2"/>
  <c r="X79" i="2" s="1"/>
  <c r="I79" i="2" s="1"/>
  <c r="G118" i="2"/>
  <c r="W33" i="2"/>
  <c r="X33" i="2" s="1"/>
  <c r="I33" i="2" s="1"/>
  <c r="X69" i="2"/>
  <c r="I69" i="2" s="1"/>
  <c r="J106" i="2"/>
  <c r="AG122" i="2"/>
  <c r="AG95" i="2"/>
  <c r="J40" i="2"/>
  <c r="AK35" i="2"/>
  <c r="AL35" i="2" s="1"/>
  <c r="G9" i="2"/>
  <c r="AI8" i="2"/>
  <c r="AJ8" i="2" s="1"/>
  <c r="L8" i="2" s="1"/>
  <c r="AG91" i="2"/>
  <c r="AG9" i="2"/>
  <c r="G121" i="2"/>
  <c r="J21" i="2"/>
  <c r="W41" i="2"/>
  <c r="H41" i="2" s="1"/>
  <c r="J41" i="2"/>
  <c r="AG94" i="2"/>
  <c r="AG125" i="2"/>
  <c r="S8" i="2"/>
  <c r="AK127" i="2"/>
  <c r="AL127" i="2" s="1"/>
  <c r="U110" i="2"/>
  <c r="H110" i="2" s="1"/>
  <c r="AG40" i="2"/>
  <c r="AK18" i="2"/>
  <c r="AL18" i="2" s="1"/>
  <c r="AG8" i="2"/>
  <c r="G117" i="2"/>
  <c r="V90" i="2"/>
  <c r="H90" i="2" s="1"/>
  <c r="AK41" i="2"/>
  <c r="AL41" i="2" s="1"/>
  <c r="J127" i="2"/>
  <c r="AK38" i="2"/>
  <c r="AL38" i="2" s="1"/>
  <c r="AI28" i="2"/>
  <c r="AJ28" i="2" s="1"/>
  <c r="L28" i="2" s="1"/>
  <c r="AI40" i="2"/>
  <c r="AJ40" i="2" s="1"/>
  <c r="L40" i="2" s="1"/>
  <c r="S9" i="2"/>
  <c r="W31" i="2"/>
  <c r="H31" i="2" s="1"/>
  <c r="AK8" i="2"/>
  <c r="AL8" i="2" s="1"/>
  <c r="T117" i="2"/>
  <c r="J110" i="2"/>
  <c r="AI13" i="2"/>
  <c r="K13" i="2" s="1"/>
  <c r="T90" i="2"/>
  <c r="U43" i="2"/>
  <c r="U41" i="2"/>
  <c r="S109" i="2"/>
  <c r="U42" i="2"/>
  <c r="AG127" i="2"/>
  <c r="AI106" i="2"/>
  <c r="AJ106" i="2" s="1"/>
  <c r="L106" i="2" s="1"/>
  <c r="AG12" i="2"/>
  <c r="G32" i="2"/>
  <c r="W28" i="2"/>
  <c r="H28" i="2" s="1"/>
  <c r="G22" i="2"/>
  <c r="V121" i="2"/>
  <c r="H121" i="2" s="1"/>
  <c r="AI78" i="2"/>
  <c r="K78" i="2" s="1"/>
  <c r="AG42" i="2"/>
  <c r="G109" i="2"/>
  <c r="V120" i="2"/>
  <c r="W120" i="2" s="1"/>
  <c r="I120" i="2" s="1"/>
  <c r="W80" i="2"/>
  <c r="X80" i="2" s="1"/>
  <c r="I80" i="2" s="1"/>
  <c r="F95" i="1" s="1"/>
  <c r="G119" i="2"/>
  <c r="U13" i="2"/>
  <c r="V13" i="2" s="1"/>
  <c r="I13" i="2" s="1"/>
  <c r="G28" i="2"/>
  <c r="AI117" i="2"/>
  <c r="K117" i="2" s="1"/>
  <c r="AG90" i="2"/>
  <c r="J11" i="2"/>
  <c r="J31" i="2"/>
  <c r="G129" i="2"/>
  <c r="J122" i="2"/>
  <c r="H67" i="2"/>
  <c r="AK79" i="2"/>
  <c r="AL79" i="2" s="1"/>
  <c r="G128" i="2"/>
  <c r="AJ15" i="2"/>
  <c r="L15" i="2" s="1"/>
  <c r="AK117" i="2"/>
  <c r="AI90" i="2"/>
  <c r="AJ90" i="2" s="1"/>
  <c r="L90" i="2" s="1"/>
  <c r="AI11" i="2"/>
  <c r="AJ11" i="2" s="1"/>
  <c r="L11" i="2" s="1"/>
  <c r="V125" i="2"/>
  <c r="W125" i="2" s="1"/>
  <c r="I125" i="2" s="1"/>
  <c r="AJ16" i="2"/>
  <c r="L16" i="2" s="1"/>
  <c r="AK31" i="2"/>
  <c r="AL31" i="2" s="1"/>
  <c r="AK101" i="2"/>
  <c r="AL101" i="2" s="1"/>
  <c r="AI122" i="2"/>
  <c r="K122" i="2" s="1"/>
  <c r="AG79" i="2"/>
  <c r="T119" i="2"/>
  <c r="G13" i="2"/>
  <c r="AI19" i="2"/>
  <c r="AJ19" i="2" s="1"/>
  <c r="L19" i="2" s="1"/>
  <c r="AK9" i="2"/>
  <c r="AL9" i="2" s="1"/>
  <c r="AK13" i="2"/>
  <c r="AL13" i="2" s="1"/>
  <c r="AK95" i="2"/>
  <c r="AL95" i="2" s="1"/>
  <c r="J78" i="2"/>
  <c r="J42" i="2"/>
  <c r="V122" i="2"/>
  <c r="J28" i="2"/>
  <c r="G120" i="2"/>
  <c r="U33" i="2"/>
  <c r="AI12" i="2"/>
  <c r="K12" i="2" s="1"/>
  <c r="AI43" i="2"/>
  <c r="K43" i="2" s="1"/>
  <c r="T124" i="2"/>
  <c r="AK12" i="2"/>
  <c r="AL12" i="2" s="1"/>
  <c r="U32" i="2"/>
  <c r="AK43" i="2"/>
  <c r="AL43" i="2" s="1"/>
  <c r="V124" i="2"/>
  <c r="W124" i="2" s="1"/>
  <c r="I124" i="2" s="1"/>
  <c r="J38" i="2"/>
  <c r="T118" i="2"/>
  <c r="AK19" i="2"/>
  <c r="AL19" i="2" s="1"/>
  <c r="AI9" i="2"/>
  <c r="K9" i="2" s="1"/>
  <c r="AG13" i="2"/>
  <c r="AI95" i="2"/>
  <c r="K95" i="2" s="1"/>
  <c r="AK78" i="2"/>
  <c r="AL78" i="2" s="1"/>
  <c r="V93" i="2"/>
  <c r="H93" i="2" s="1"/>
  <c r="AK42" i="2"/>
  <c r="AL42" i="2" s="1"/>
  <c r="AG41" i="2"/>
  <c r="T122" i="2"/>
  <c r="AK28" i="2"/>
  <c r="AL28" i="2" s="1"/>
  <c r="W42" i="2"/>
  <c r="U106" i="2"/>
  <c r="V106" i="2" s="1"/>
  <c r="I106" i="2" s="1"/>
  <c r="T127" i="2"/>
  <c r="AI38" i="2"/>
  <c r="AJ38" i="2" s="1"/>
  <c r="L38" i="2" s="1"/>
  <c r="H109" i="2"/>
  <c r="V109" i="2"/>
  <c r="I109" i="2" s="1"/>
  <c r="H101" i="2"/>
  <c r="V101" i="2"/>
  <c r="I101" i="2" s="1"/>
  <c r="AJ32" i="2"/>
  <c r="L32" i="2" s="1"/>
  <c r="H29" i="2"/>
  <c r="X29" i="2"/>
  <c r="I29" i="2" s="1"/>
  <c r="H118" i="2"/>
  <c r="W118" i="2"/>
  <c r="I118" i="2" s="1"/>
  <c r="AL62" i="2"/>
  <c r="AL90" i="2"/>
  <c r="W129" i="2"/>
  <c r="I129" i="2" s="1"/>
  <c r="H129" i="2"/>
  <c r="H38" i="2"/>
  <c r="X38" i="2"/>
  <c r="I38" i="2" s="1"/>
  <c r="AJ92" i="2"/>
  <c r="L92" i="2" s="1"/>
  <c r="K92" i="2"/>
  <c r="AJ104" i="2"/>
  <c r="L104" i="2" s="1"/>
  <c r="K104" i="2"/>
  <c r="AJ128" i="2"/>
  <c r="L128" i="2" s="1"/>
  <c r="K128" i="2"/>
  <c r="H94" i="2"/>
  <c r="AJ33" i="2"/>
  <c r="L33" i="2" s="1"/>
  <c r="K33" i="2"/>
  <c r="K35" i="2"/>
  <c r="AJ35" i="2"/>
  <c r="L35" i="2" s="1"/>
  <c r="V9" i="2"/>
  <c r="I9" i="2" s="1"/>
  <c r="H9" i="2"/>
  <c r="AJ31" i="2"/>
  <c r="L31" i="2" s="1"/>
  <c r="K31" i="2"/>
  <c r="K118" i="2"/>
  <c r="AJ118" i="2"/>
  <c r="L118" i="2" s="1"/>
  <c r="V20" i="2"/>
  <c r="I20" i="2" s="1"/>
  <c r="H20" i="2"/>
  <c r="V18" i="2"/>
  <c r="I18" i="2" s="1"/>
  <c r="H18" i="2"/>
  <c r="H32" i="2"/>
  <c r="X32" i="2"/>
  <c r="I32" i="2" s="1"/>
  <c r="X43" i="2"/>
  <c r="I43" i="2" s="1"/>
  <c r="H43" i="2"/>
  <c r="W95" i="2"/>
  <c r="I95" i="2" s="1"/>
  <c r="H95" i="2"/>
  <c r="AJ42" i="2"/>
  <c r="L42" i="2" s="1"/>
  <c r="K42" i="2"/>
  <c r="K41" i="2"/>
  <c r="AJ41" i="2"/>
  <c r="L41" i="2" s="1"/>
  <c r="V8" i="2"/>
  <c r="I8" i="2" s="1"/>
  <c r="H8" i="2"/>
  <c r="AJ127" i="2"/>
  <c r="L127" i="2" s="1"/>
  <c r="K127" i="2"/>
  <c r="AJ20" i="2"/>
  <c r="L20" i="2" s="1"/>
  <c r="K20" i="2"/>
  <c r="H19" i="2"/>
  <c r="V19" i="2"/>
  <c r="I19" i="2" s="1"/>
  <c r="W119" i="2"/>
  <c r="I119" i="2" s="1"/>
  <c r="H119" i="2"/>
  <c r="AJ18" i="2"/>
  <c r="L18" i="2" s="1"/>
  <c r="K18" i="2"/>
  <c r="AJ91" i="2"/>
  <c r="L91" i="2" s="1"/>
  <c r="K91" i="2"/>
  <c r="W117" i="2"/>
  <c r="I117" i="2" s="1"/>
  <c r="H117" i="2"/>
  <c r="K110" i="2"/>
  <c r="AJ110" i="2"/>
  <c r="L110" i="2" s="1"/>
  <c r="H22" i="2"/>
  <c r="V22" i="2"/>
  <c r="I22" i="2" s="1"/>
  <c r="AJ21" i="2"/>
  <c r="L21" i="2" s="1"/>
  <c r="K21" i="2"/>
  <c r="W92" i="2" l="1"/>
  <c r="I92" i="2" s="1"/>
  <c r="AJ79" i="2"/>
  <c r="L79" i="2" s="1"/>
  <c r="AJ62" i="2"/>
  <c r="L62" i="2" s="1"/>
  <c r="X35" i="2"/>
  <c r="I35" i="2" s="1"/>
  <c r="V11" i="2"/>
  <c r="I11" i="2" s="1"/>
  <c r="H126" i="2"/>
  <c r="H21" i="2"/>
  <c r="K93" i="2"/>
  <c r="K10" i="2"/>
  <c r="H40" i="2"/>
  <c r="AJ123" i="2"/>
  <c r="L123" i="2" s="1"/>
  <c r="W123" i="2"/>
  <c r="I123" i="2" s="1"/>
  <c r="AJ101" i="2"/>
  <c r="L101" i="2" s="1"/>
  <c r="K109" i="2"/>
  <c r="K40" i="2"/>
  <c r="U7" i="2"/>
  <c r="V10" i="2"/>
  <c r="I10" i="2" s="1"/>
  <c r="W127" i="2"/>
  <c r="I127" i="2" s="1"/>
  <c r="K94" i="2"/>
  <c r="K126" i="2"/>
  <c r="AJ125" i="2"/>
  <c r="L125" i="2" s="1"/>
  <c r="X78" i="2"/>
  <c r="I78" i="2" s="1"/>
  <c r="K103" i="2"/>
  <c r="W128" i="2"/>
  <c r="I128" i="2" s="1"/>
  <c r="AJ78" i="2"/>
  <c r="L78" i="2" s="1"/>
  <c r="K121" i="2"/>
  <c r="AK131" i="2"/>
  <c r="AL131" i="2" s="1"/>
  <c r="J98" i="1" s="1"/>
  <c r="W91" i="2"/>
  <c r="I91" i="2" s="1"/>
  <c r="K28" i="2"/>
  <c r="K29" i="2"/>
  <c r="H124" i="2"/>
  <c r="AK113" i="2"/>
  <c r="AL113" i="2" s="1"/>
  <c r="J97" i="1" s="1"/>
  <c r="K38" i="2"/>
  <c r="U23" i="2"/>
  <c r="V23" i="2" s="1"/>
  <c r="I23" i="2" s="1"/>
  <c r="F93" i="1" s="1"/>
  <c r="AI113" i="2"/>
  <c r="K113" i="2" s="1"/>
  <c r="H97" i="1" s="1"/>
  <c r="X46" i="2"/>
  <c r="I46" i="2" s="1"/>
  <c r="H46" i="2"/>
  <c r="H79" i="2"/>
  <c r="H12" i="2"/>
  <c r="K106" i="2"/>
  <c r="AI80" i="2"/>
  <c r="AJ80" i="2" s="1"/>
  <c r="L80" i="2" s="1"/>
  <c r="I95" i="1" s="1"/>
  <c r="K52" i="2"/>
  <c r="AJ122" i="2"/>
  <c r="L122" i="2" s="1"/>
  <c r="AL117" i="2"/>
  <c r="W90" i="2"/>
  <c r="I90" i="2" s="1"/>
  <c r="H80" i="2"/>
  <c r="E95" i="1" s="1"/>
  <c r="X41" i="2"/>
  <c r="I41" i="2" s="1"/>
  <c r="H52" i="2"/>
  <c r="X52" i="2"/>
  <c r="I52" i="2" s="1"/>
  <c r="AJ13" i="2"/>
  <c r="L13" i="2" s="1"/>
  <c r="W93" i="2"/>
  <c r="I93" i="2" s="1"/>
  <c r="H33" i="2"/>
  <c r="H120" i="2"/>
  <c r="W121" i="2"/>
  <c r="I121" i="2" s="1"/>
  <c r="K8" i="2"/>
  <c r="X31" i="2"/>
  <c r="I31" i="2" s="1"/>
  <c r="H125" i="2"/>
  <c r="AJ9" i="2"/>
  <c r="L9" i="2" s="1"/>
  <c r="K19" i="2"/>
  <c r="V97" i="2"/>
  <c r="W97" i="2" s="1"/>
  <c r="I97" i="2" s="1"/>
  <c r="F96" i="1" s="1"/>
  <c r="X28" i="2"/>
  <c r="I28" i="2" s="1"/>
  <c r="V131" i="2"/>
  <c r="W131" i="2" s="1"/>
  <c r="I131" i="2" s="1"/>
  <c r="F98" i="1" s="1"/>
  <c r="U113" i="2"/>
  <c r="V113" i="2" s="1"/>
  <c r="I113" i="2" s="1"/>
  <c r="F97" i="1" s="1"/>
  <c r="W55" i="2"/>
  <c r="X55" i="2" s="1"/>
  <c r="I55" i="2" s="1"/>
  <c r="F94" i="1" s="1"/>
  <c r="V110" i="2"/>
  <c r="I110" i="2" s="1"/>
  <c r="W122" i="2"/>
  <c r="I122" i="2" s="1"/>
  <c r="H106" i="2"/>
  <c r="X42" i="2"/>
  <c r="I42" i="2" s="1"/>
  <c r="H13" i="2"/>
  <c r="AI97" i="2"/>
  <c r="K97" i="2" s="1"/>
  <c r="H96" i="1" s="1"/>
  <c r="AI131" i="2"/>
  <c r="K131" i="2" s="1"/>
  <c r="H98" i="1" s="1"/>
  <c r="AI23" i="2"/>
  <c r="AJ23" i="2" s="1"/>
  <c r="L23" i="2" s="1"/>
  <c r="I93" i="1" s="1"/>
  <c r="AK55" i="2"/>
  <c r="AL55" i="2" s="1"/>
  <c r="J94" i="1" s="1"/>
  <c r="AJ95" i="2"/>
  <c r="L95" i="2" s="1"/>
  <c r="K11" i="2"/>
  <c r="K90" i="2"/>
  <c r="AJ117" i="2"/>
  <c r="L117" i="2" s="1"/>
  <c r="H122" i="2"/>
  <c r="AI7" i="2"/>
  <c r="AJ7" i="2" s="1"/>
  <c r="AI55" i="2"/>
  <c r="K55" i="2" s="1"/>
  <c r="H94" i="1" s="1"/>
  <c r="AK97" i="2"/>
  <c r="AL97" i="2" s="1"/>
  <c r="J96" i="1" s="1"/>
  <c r="H42" i="2"/>
  <c r="AJ12" i="2"/>
  <c r="L12" i="2" s="1"/>
  <c r="AJ43" i="2"/>
  <c r="L43" i="2" s="1"/>
  <c r="AK80" i="2"/>
  <c r="AL80" i="2" s="1"/>
  <c r="J95" i="1" s="1"/>
  <c r="AK23" i="2"/>
  <c r="AL23" i="2" s="1"/>
  <c r="J93" i="1" s="1"/>
  <c r="AJ113" i="2"/>
  <c r="L113" i="2" s="1"/>
  <c r="I97" i="1" s="1"/>
  <c r="K80" i="2" l="1"/>
  <c r="H95" i="1" s="1"/>
  <c r="H23" i="2"/>
  <c r="E93" i="1" s="1"/>
  <c r="AJ97" i="2"/>
  <c r="L97" i="2" s="1"/>
  <c r="I96" i="1" s="1"/>
  <c r="K23" i="2"/>
  <c r="H93" i="1" s="1"/>
  <c r="H131" i="2"/>
  <c r="E98" i="1" s="1"/>
  <c r="H113" i="2"/>
  <c r="E97" i="1" s="1"/>
  <c r="H97" i="2"/>
  <c r="E96" i="1" s="1"/>
  <c r="H55" i="2"/>
  <c r="E94" i="1" s="1"/>
  <c r="AJ55" i="2"/>
  <c r="L55" i="2" s="1"/>
  <c r="I94" i="1" s="1"/>
  <c r="AJ131" i="2"/>
  <c r="L131" i="2" s="1"/>
  <c r="I98" i="1" s="1"/>
  <c r="J100" i="1"/>
  <c r="H100" i="1" l="1"/>
  <c r="I100" i="1" s="1"/>
  <c r="E100" i="1"/>
  <c r="F100" i="1" s="1"/>
</calcChain>
</file>

<file path=xl/sharedStrings.xml><?xml version="1.0" encoding="utf-8"?>
<sst xmlns="http://schemas.openxmlformats.org/spreadsheetml/2006/main" count="918" uniqueCount="269">
  <si>
    <t>No.</t>
  </si>
  <si>
    <t>Criteria</t>
  </si>
  <si>
    <t>Data</t>
  </si>
  <si>
    <t>Staff</t>
  </si>
  <si>
    <t xml:space="preserve">Total number of academic staff (permanent/contract staff) </t>
  </si>
  <si>
    <t>a. Number of academic staff (including staff on study leave) (FTE)</t>
  </si>
  <si>
    <t>i. Professor (FTE)</t>
  </si>
  <si>
    <t>♦ Part Time</t>
  </si>
  <si>
    <t>ii. Associate Professor (FTE)</t>
  </si>
  <si>
    <t>iii. Senior Lecturer (FTE)</t>
  </si>
  <si>
    <t>iv. Lecturer (FTE)</t>
  </si>
  <si>
    <t>b. Number of active academic staff (FTE)</t>
  </si>
  <si>
    <t>iv. Lecturer</t>
  </si>
  <si>
    <t>c. Total number of active S&amp;T academic staff (FTE)</t>
  </si>
  <si>
    <t>d. Total number of active Non S&amp;T academic staff (FTE)</t>
  </si>
  <si>
    <t xml:space="preserve">e. Percent of active S&amp;T academic staff </t>
  </si>
  <si>
    <t xml:space="preserve">f. Total number of active foreign academic staff </t>
  </si>
  <si>
    <t>Students</t>
  </si>
  <si>
    <t xml:space="preserve">Total number of fulltime students (including local &amp; international postgraduates) </t>
  </si>
  <si>
    <t xml:space="preserve">a. Number of local and foreign undergraduate students </t>
  </si>
  <si>
    <t>i. Bachelor (Local)</t>
  </si>
  <si>
    <t>ii. Bachelor (Foreign)</t>
  </si>
  <si>
    <t xml:space="preserve">b. Number of local and foreign postgraduate students </t>
  </si>
  <si>
    <t>i. Master - Research (Local) FTE</t>
  </si>
  <si>
    <t>ii. Master - Research (Foreign) FTE</t>
  </si>
  <si>
    <t>iii. Master - Coursework (Local) FTE</t>
  </si>
  <si>
    <t>iv. Master - Coursework (Foreign) FTE</t>
  </si>
  <si>
    <t>v. PhD (Local) FTE</t>
  </si>
  <si>
    <t>vi. PhD (Foreign) FTE</t>
  </si>
  <si>
    <t>vii. Doctoral Level Coursework (Local) FTE</t>
  </si>
  <si>
    <t>viii. Doctoral Level Coursework (Foreign) FTE</t>
  </si>
  <si>
    <t>SECTION A - GENERAL INFORMATION</t>
  </si>
  <si>
    <t>General</t>
  </si>
  <si>
    <t>Faculty</t>
  </si>
  <si>
    <t>Main Contact Person</t>
  </si>
  <si>
    <t>Email (Main Contact Person)</t>
  </si>
  <si>
    <t>♦ Full Time</t>
  </si>
  <si>
    <t>♦ PhD</t>
  </si>
  <si>
    <t>♦ Postgraduates by Research</t>
  </si>
  <si>
    <r>
      <t>♦ Postgraduates (Foreign</t>
    </r>
    <r>
      <rPr>
        <sz val="11"/>
        <color theme="1"/>
        <rFont val="Calibri"/>
        <family val="2"/>
        <scheme val="minor"/>
      </rPr>
      <t>)</t>
    </r>
  </si>
  <si>
    <t>♦ Master (Local)</t>
  </si>
  <si>
    <t>♦ Master (Foreign)</t>
  </si>
  <si>
    <t>♦ Part Time</t>
  </si>
  <si>
    <t>No</t>
  </si>
  <si>
    <t>Kriteria</t>
  </si>
  <si>
    <t>KPI</t>
  </si>
  <si>
    <t>Critical Mass</t>
  </si>
  <si>
    <t>Percent of academic staff involved as principal investigator (leadership) of research grants (in reviewed and funded research projects).</t>
  </si>
  <si>
    <t>a. University Funded (including RU grant)</t>
  </si>
  <si>
    <t>b. National Grants (FRGS, ERGS, MARDI etc)</t>
  </si>
  <si>
    <t>c. Industry Grant (All types of grant)</t>
  </si>
  <si>
    <t>d. International Grants</t>
  </si>
  <si>
    <t>PhD or Equivalent &amp; Professional Qualification</t>
  </si>
  <si>
    <t>a. Total number of staff with PhD/DSc, D.Eng.</t>
  </si>
  <si>
    <t xml:space="preserve">b. Total number of staff with Professional Qualifications (such as medical, engineers,architects, accountants etc) </t>
  </si>
  <si>
    <t>Research experience (3 cohorts)</t>
  </si>
  <si>
    <t>Total no of  research experienced staffs:</t>
  </si>
  <si>
    <t>a.  &gt; 50 year</t>
  </si>
  <si>
    <t>b. 40-49 year</t>
  </si>
  <si>
    <t>c. &lt; 40 year</t>
  </si>
  <si>
    <t>Awards and recognitions conferred by national and international learned and professional bodies</t>
  </si>
  <si>
    <t>Total Mark for Section B</t>
  </si>
  <si>
    <t>SECTION B - QUANTITY AND QUALITY OF RESEARCHERS (15 MARKS) (CAPPED AT 200% EXCEPT RESEARCH EXPERIENCE / INPUT )</t>
  </si>
  <si>
    <t>Marks</t>
  </si>
  <si>
    <t>Weightage</t>
  </si>
  <si>
    <r>
      <t xml:space="preserve">a.Total number of awards conferred by </t>
    </r>
    <r>
      <rPr>
        <sz val="11"/>
        <color rgb="FFFF0000"/>
        <rFont val="Calibri"/>
        <family val="2"/>
        <scheme val="minor"/>
      </rPr>
      <t>INTERNATIONAL</t>
    </r>
    <r>
      <rPr>
        <sz val="11"/>
        <rFont val="Calibri"/>
        <family val="2"/>
        <scheme val="minor"/>
      </rPr>
      <t xml:space="preserve"> academic and professional bodies towards research excellence</t>
    </r>
  </si>
  <si>
    <r>
      <t xml:space="preserve">b. Total number of recognition and stewardship conferred by </t>
    </r>
    <r>
      <rPr>
        <sz val="11"/>
        <color rgb="FFFF0000"/>
        <rFont val="Calibri"/>
        <family val="2"/>
        <scheme val="minor"/>
      </rPr>
      <t xml:space="preserve">INTERNATIONAL </t>
    </r>
    <r>
      <rPr>
        <sz val="11"/>
        <rFont val="Calibri"/>
        <family val="2"/>
        <scheme val="minor"/>
      </rPr>
      <t>Learned and Professional Bodies towards research excellence</t>
    </r>
  </si>
  <si>
    <r>
      <t xml:space="preserve">a.Total number of awards conferred by </t>
    </r>
    <r>
      <rPr>
        <sz val="11"/>
        <color rgb="FFFF0000"/>
        <rFont val="Calibri"/>
        <family val="2"/>
        <scheme val="minor"/>
      </rPr>
      <t>NATIONAL</t>
    </r>
    <r>
      <rPr>
        <sz val="11"/>
        <rFont val="Calibri"/>
        <family val="2"/>
        <scheme val="minor"/>
      </rPr>
      <t xml:space="preserve"> academic and professional bodies towards research excellence</t>
    </r>
  </si>
  <si>
    <r>
      <t xml:space="preserve">b. Total number of recognition and stewardship conferred by </t>
    </r>
    <r>
      <rPr>
        <sz val="11"/>
        <color rgb="FFFF0000"/>
        <rFont val="Calibri"/>
        <family val="2"/>
        <scheme val="minor"/>
      </rPr>
      <t xml:space="preserve">NATIONAL </t>
    </r>
    <r>
      <rPr>
        <sz val="11"/>
        <rFont val="Calibri"/>
        <family val="2"/>
        <scheme val="minor"/>
      </rPr>
      <t>Learned and Professional Bodies towards research excellence</t>
    </r>
  </si>
  <si>
    <t>e. Research Exhibition Awards (gold medals / special awards)</t>
  </si>
  <si>
    <t>MyRA I</t>
  </si>
  <si>
    <t>MyRA II</t>
  </si>
  <si>
    <t>Yes</t>
  </si>
  <si>
    <t>sub-weightage</t>
  </si>
  <si>
    <t>Benchmark</t>
  </si>
  <si>
    <t>Benchmark
Score</t>
  </si>
  <si>
    <t>Target</t>
  </si>
  <si>
    <t>Active Staff</t>
  </si>
  <si>
    <t>Marks
Obtained</t>
  </si>
  <si>
    <t>% Pencapaian</t>
  </si>
  <si>
    <t>Intermediate</t>
  </si>
  <si>
    <t>Score per unit</t>
  </si>
  <si>
    <t>S&amp;T</t>
  </si>
  <si>
    <t>SS</t>
  </si>
  <si>
    <t>a. Total Number of Publications in SCOPUS/WOS/ERA</t>
  </si>
  <si>
    <t>(i) Journals</t>
  </si>
  <si>
    <t xml:space="preserve">(ii) Conference Proceedings </t>
  </si>
  <si>
    <t>(iii) Joint Publications:</t>
  </si>
  <si>
    <t xml:space="preserve">1) Industrial Collaborations </t>
  </si>
  <si>
    <t>2) International Collaborations</t>
  </si>
  <si>
    <t>3) National Collaboration (UA-UA, UA-US, US-US,  Agencies / Research Institutes)</t>
  </si>
  <si>
    <t>b. Publication Impact :</t>
  </si>
  <si>
    <t>(i) Total Citations of Publications</t>
  </si>
  <si>
    <t>(ii) Number of Articles Published in Q1 and Q2 journals</t>
  </si>
  <si>
    <t>(iii) Percentage of Articles Published in Q1 and Q2  journals</t>
  </si>
  <si>
    <t>c. Total Number of Publications in Other Journals</t>
  </si>
  <si>
    <t>d. Research Books and Chapters</t>
  </si>
  <si>
    <t>(i) No. of Research Books</t>
  </si>
  <si>
    <t>(ii) No. of Chapters in Research Books</t>
  </si>
  <si>
    <r>
      <t>e. Policy Papers</t>
    </r>
    <r>
      <rPr>
        <strike/>
        <sz val="11"/>
        <rFont val="Arial Narrow"/>
        <family val="2"/>
      </rPr>
      <t/>
    </r>
  </si>
  <si>
    <t>f. Other Publications (Case studies, technical reports, articles in magazines, newsletters, original writings and publications from conferences, digital or print media)</t>
  </si>
  <si>
    <t xml:space="preserve">Research grants for academic staff 
</t>
  </si>
  <si>
    <t xml:space="preserve">a. Total Amount of Public Funds from Government Agencies/Parent Bodies/Home Universities/Main Campus </t>
  </si>
  <si>
    <t>(i) Total Amount Pledged for New Projects</t>
  </si>
  <si>
    <t>(ii) Total Amount Received for Active Projects</t>
  </si>
  <si>
    <t>b.  Total Amount of Private/ Industrial Funds (including Contract Research) :</t>
  </si>
  <si>
    <t>c.   Total Amount of International Funds :</t>
  </si>
  <si>
    <t>(ii) Total Amount Received for Active projects</t>
  </si>
  <si>
    <t>Total Mark for Section C</t>
  </si>
  <si>
    <t>SECTION C - QUANTITY AND QUALITY OF RESEARCH (35 MARKS) (CAPPED AT 200% / OUTPUT)</t>
  </si>
  <si>
    <t xml:space="preserve">Number of PhDs Graduated </t>
  </si>
  <si>
    <t>a. Total Number of PhDs Graduated in the Year</t>
  </si>
  <si>
    <t>i. Total Number of Local PhDs (Research Mode) Graduated in the Year</t>
  </si>
  <si>
    <t>ii. Total Number of International PhDs (Research Mode) Graduated in the Year</t>
  </si>
  <si>
    <t>b. Ratio of PhDs Graduated to Active Academic Staff</t>
  </si>
  <si>
    <t xml:space="preserve">Number of Masters Graduated </t>
  </si>
  <si>
    <t>a.  Total Number of Masters (Research Mode) Graduated in the Year</t>
  </si>
  <si>
    <t>Number of PhDs Enrolled</t>
  </si>
  <si>
    <t>a.  Total Number of PhDs Enrolled</t>
  </si>
  <si>
    <t xml:space="preserve">b.  Ratio of PhDs Enrolled to Active Academic Staff  </t>
  </si>
  <si>
    <t>c.  Total Number of PhDs Enrolled in S&amp;T</t>
  </si>
  <si>
    <t>Postgraduates Enrolment</t>
  </si>
  <si>
    <t xml:space="preserve">a.  Ratio of Postgraduates Enrolled to Active Academic Staff </t>
  </si>
  <si>
    <t xml:space="preserve">b.  Ratio of Postgraduates Enrolled to Undergraduates Enrolled </t>
  </si>
  <si>
    <t xml:space="preserve">Number of International </t>
  </si>
  <si>
    <t>a. Total Number of International Postgraduates Enrolled</t>
  </si>
  <si>
    <t>b.  Percentage of International Postgraduates to Total Number of Postgraduates Enrolled</t>
  </si>
  <si>
    <t xml:space="preserve">Entry Qualification Level of Postgraduates </t>
  </si>
  <si>
    <t>a.  Number of Postgraduates Enrolled with CGPA ≥ 3.0 or Equivalent for their First Degree</t>
  </si>
  <si>
    <t>b.  Percentage of Postgraduates Enrolled with CGPA ≥ 3.0 or Equivalent for their First Degree</t>
  </si>
  <si>
    <t>Total Number of Fellowships/ Grants Awarded by Prestigious Bodies to Postgraduates via Research Mode</t>
  </si>
  <si>
    <t>a.  Number of Postgraduates Enrolled via Research Mode with Fellowships/ Grants</t>
  </si>
  <si>
    <t>b.  Percentage of Postgraduates Enrolled via Research Mode with Fellowships/ Grants</t>
  </si>
  <si>
    <t>Post-doctoral Appointments</t>
  </si>
  <si>
    <t>Number of Post-doctoral Research Fellows :</t>
  </si>
  <si>
    <t>(a) Local</t>
  </si>
  <si>
    <t>(b) Foreign</t>
  </si>
  <si>
    <t>Total Mark for Section D</t>
  </si>
  <si>
    <t>c. Number of PhDs Graduated within 7 Semesters or 42 Months</t>
  </si>
  <si>
    <t>d. Percentage of PhDs Graduated within 7 Semesters or 42 Months</t>
  </si>
  <si>
    <t>Patents</t>
  </si>
  <si>
    <r>
      <t>a. Total Number of New Certificates of Patents</t>
    </r>
    <r>
      <rPr>
        <u/>
        <sz val="11"/>
        <color theme="1"/>
        <rFont val="Calibri"/>
        <family val="2"/>
        <scheme val="minor"/>
      </rPr>
      <t xml:space="preserve"> Granted</t>
    </r>
  </si>
  <si>
    <t>i. National</t>
  </si>
  <si>
    <t>ii. International</t>
  </si>
  <si>
    <r>
      <t xml:space="preserve">b.  Total Number of New Certificates of Patents </t>
    </r>
    <r>
      <rPr>
        <u/>
        <sz val="11"/>
        <color theme="1"/>
        <rFont val="Calibri"/>
        <family val="2"/>
        <scheme val="minor"/>
      </rPr>
      <t>Filed</t>
    </r>
  </si>
  <si>
    <r>
      <t xml:space="preserve">c. Total Number of New Inventions </t>
    </r>
    <r>
      <rPr>
        <u/>
        <sz val="11"/>
        <color theme="1"/>
        <rFont val="Calibri"/>
        <family val="2"/>
        <scheme val="minor"/>
      </rPr>
      <t>Granted</t>
    </r>
    <r>
      <rPr>
        <sz val="11"/>
        <color theme="1"/>
        <rFont val="Calibri"/>
        <family val="2"/>
        <scheme val="minor"/>
      </rPr>
      <t xml:space="preserve"> Patents</t>
    </r>
  </si>
  <si>
    <r>
      <t xml:space="preserve">d. Total Number of New Inventions </t>
    </r>
    <r>
      <rPr>
        <u/>
        <sz val="11"/>
        <color theme="1"/>
        <rFont val="Calibri"/>
        <family val="2"/>
        <scheme val="minor"/>
      </rPr>
      <t>Filed</t>
    </r>
    <r>
      <rPr>
        <sz val="11"/>
        <color theme="1"/>
        <rFont val="Calibri"/>
        <family val="2"/>
        <scheme val="minor"/>
      </rPr>
      <t xml:space="preserve"> for Patents</t>
    </r>
  </si>
  <si>
    <t>Commercialized Products</t>
  </si>
  <si>
    <t>Total Number of Innovations Successfully Developed into Commercialized Products for the Market</t>
  </si>
  <si>
    <t>Technology Know-How Licensing</t>
  </si>
  <si>
    <t>a.  Total Number Licensed</t>
  </si>
  <si>
    <t>b.  Total Number Sold Outright</t>
  </si>
  <si>
    <t>Other IPRs (other than Patents, Commercialized Products, Technology Know-How and Books declared in Section C)</t>
  </si>
  <si>
    <t>Total Number of Other IPRs (copyrights / trademarks / industrial designs, etc) Obtained</t>
  </si>
  <si>
    <t>Starts-Up/ Spin-off Companies</t>
  </si>
  <si>
    <t>Total Number of Start-Up Companies (representing new businesses, jobs) Created Based on Research Innovations</t>
  </si>
  <si>
    <t>Total Mark for Section E</t>
  </si>
  <si>
    <t>Gross Income from Training Courses (Non-degree programmes) and Postgraduate Fees (Research programmes)</t>
  </si>
  <si>
    <t>a. Training Courses from Non-degree Programmes</t>
  </si>
  <si>
    <t>b.  Postgraduate Fees from Research Programmes</t>
  </si>
  <si>
    <t>Gross Income from Organising Conferences, Seminars and Knowledge-Sharing Programmes in the Field of Expertise</t>
  </si>
  <si>
    <t>Total Amount (RM in millions)</t>
  </si>
  <si>
    <t xml:space="preserve">Gross Income from Product Commercialization/ Technology Know-How Licensing </t>
  </si>
  <si>
    <t xml:space="preserve">a) Product Commercialization </t>
  </si>
  <si>
    <t xml:space="preserve">b) Technology Know-How Licensing </t>
  </si>
  <si>
    <t>Gross Income Based on Financial Transaction of that Year from Consultancies (excluding Contract Research)/ Hospital Recoupable Fees Lab Services Fees</t>
  </si>
  <si>
    <t>a. Consultancies (excluding contract research)</t>
  </si>
  <si>
    <t>b. Hospital Recoupable Fees</t>
  </si>
  <si>
    <t>c. Lab Services Fees</t>
  </si>
  <si>
    <t>Endowment (including Professorial Chairs)</t>
  </si>
  <si>
    <t>Gifts (money, equipment, research materials, etc.) worth ≥RM 3,000 each</t>
  </si>
  <si>
    <t>Percentage of Operational Expenditure (OE) for R&amp;D Development (Irrelevant to Faculty/CoE; report not needed)</t>
  </si>
  <si>
    <t>a. Total Operational Expenditure (RM in millions)</t>
  </si>
  <si>
    <t>b. Total Expenditure for R&amp;D Development (RM in millions)</t>
  </si>
  <si>
    <t>Total Mark for Section F</t>
  </si>
  <si>
    <r>
      <t xml:space="preserve">Participation in </t>
    </r>
    <r>
      <rPr>
        <b/>
        <u/>
        <sz val="11"/>
        <rFont val="Calibri"/>
        <family val="2"/>
        <scheme val="minor"/>
      </rPr>
      <t>International</t>
    </r>
    <r>
      <rPr>
        <b/>
        <sz val="11"/>
        <rFont val="Calibri"/>
        <family val="2"/>
        <scheme val="minor"/>
      </rPr>
      <t xml:space="preserve"> Inter-Institution Research Related Activities Under MoA</t>
    </r>
  </si>
  <si>
    <t>a. Total Number of MoAs Signed and Stamped</t>
  </si>
  <si>
    <t>b. Percentage of Staff Involved in Joint Research Projects Under MoA</t>
  </si>
  <si>
    <t>Number of Staff Sent Abroad for Research Activities</t>
  </si>
  <si>
    <t>Percentage of Staff Sent Abroad for Research Activities</t>
  </si>
  <si>
    <r>
      <t xml:space="preserve">Membership in </t>
    </r>
    <r>
      <rPr>
        <b/>
        <u/>
        <sz val="11"/>
        <rFont val="Calibri"/>
        <family val="2"/>
        <scheme val="minor"/>
      </rPr>
      <t>International</t>
    </r>
    <r>
      <rPr>
        <b/>
        <sz val="11"/>
        <rFont val="Calibri"/>
        <family val="2"/>
        <scheme val="minor"/>
      </rPr>
      <t xml:space="preserve"> Academic/ Professional Bodies/ Associations/ NGOs</t>
    </r>
  </si>
  <si>
    <t>a. Total Number of Staff as Members in International Academic/ Professional Bodies/ Associations</t>
  </si>
  <si>
    <t>b. Total Number of Staff Appointed as Chairman/ Committee Members in International Academic/ Professional Bodies/ Associations/ NGOs</t>
  </si>
  <si>
    <r>
      <t xml:space="preserve">Participation in </t>
    </r>
    <r>
      <rPr>
        <b/>
        <u/>
        <sz val="11"/>
        <rFont val="Calibri"/>
        <family val="2"/>
        <scheme val="minor"/>
      </rPr>
      <t>National</t>
    </r>
    <r>
      <rPr>
        <b/>
        <sz val="11"/>
        <rFont val="Calibri"/>
        <family val="2"/>
        <scheme val="minor"/>
      </rPr>
      <t xml:space="preserve"> Inter-Institution Research Related Activities Under MoA</t>
    </r>
  </si>
  <si>
    <t>b.  Percentage of Staff Involved in Joint Research Projects Under MoA</t>
  </si>
  <si>
    <r>
      <t xml:space="preserve">Membership in </t>
    </r>
    <r>
      <rPr>
        <b/>
        <u/>
        <sz val="11"/>
        <rFont val="Calibri"/>
        <family val="2"/>
        <scheme val="minor"/>
      </rPr>
      <t>National</t>
    </r>
    <r>
      <rPr>
        <b/>
        <sz val="11"/>
        <rFont val="Calibri"/>
        <family val="2"/>
        <scheme val="minor"/>
      </rPr>
      <t xml:space="preserve"> Academic/ Professional Bodies/ Associations/ Ministry/ NGOs</t>
    </r>
  </si>
  <si>
    <t>a. Total Number of Staff as Members in National Academic/ Professional Bodies / Associations / Ministry/ NGOs</t>
  </si>
  <si>
    <t xml:space="preserve">Knowledge/ Technology Diffusion Projects/ Assimilation (Social Innovation) </t>
  </si>
  <si>
    <t>a (i) Total Number of New Community-Related Projects</t>
  </si>
  <si>
    <t xml:space="preserve">  (ii) Total Number of Rolling Community-Related Projects </t>
  </si>
  <si>
    <t>Joint Research Projects Between RU-Non-RUs/ Private Universities/ Industries/ Agencies</t>
  </si>
  <si>
    <t>Number of Collaborative Projects Between RUs and a Minimum of 4 Non-RUs/ Private Universities/ Industries/ Agencies in Each Project</t>
  </si>
  <si>
    <t>Total Mark for Section G</t>
  </si>
  <si>
    <t>b. Total Number of Staff Appointed as Chairman/ Committee Members in National Academic/ Professional Bodies/ Associations/ Ministry/ NGOs</t>
  </si>
  <si>
    <t>b. Total Number of Communities Receiving/ Benefiting from the Knowledge/ Technology Diffusion Projects</t>
  </si>
  <si>
    <t>Number of Collaborative Projects with a Minimum of 4 RUs in Each Project</t>
  </si>
  <si>
    <t>Laboratories/ Research Facilities that are Accreditated Based on their Core Competencies</t>
  </si>
  <si>
    <t>Total Number of Laboratories Accredited to Good Manufacturing Practice (GMP), Good Regulatory Practice (GRP), Good Laboratory Practice (GLP), ISO17025, ISO15189, etc that are fully operational</t>
  </si>
  <si>
    <t>Library Facilities</t>
  </si>
  <si>
    <t xml:space="preserve">a.  Total Number of Titles of Books </t>
  </si>
  <si>
    <t xml:space="preserve">b.  Total Number of Online Titles of Books </t>
  </si>
  <si>
    <t xml:space="preserve">c.   Total Number of Journals Subscribed </t>
  </si>
  <si>
    <t>Total Mark for Section H</t>
  </si>
  <si>
    <t>Research Expenditure for All Projects (Data from Bursary)</t>
  </si>
  <si>
    <t>a.  Total Amount of Research Grants Received in the Year</t>
  </si>
  <si>
    <t>b.  Total Amount of Research Grants Spent</t>
  </si>
  <si>
    <t>SECTION D - QUANTITY AND QUALITY OF POSTGRADUATES (15 MARKS) (CAPPED AT 200% / INPUT &amp; OUTPUT )</t>
  </si>
  <si>
    <t>SECTION E - INNOVATION (10 MARKS) (CAPPED AT 100% EXCEPT OTHER IPR (CAPPED at 200%) / OUTPUT )</t>
  </si>
  <si>
    <t xml:space="preserve">SECTION F - PROFESSIONAL SERVICES AND GIFTS (7 MARKS) (CAPPED AT 100% / OUTPUT) </t>
  </si>
  <si>
    <t>SECTION G - NETWORKING AND LINKAGES (10 MARKS) (CAPPED AT 100% / OUTPUT)</t>
  </si>
  <si>
    <t>SECTION H - SUPPORT FACILITIES (3 MARKS) (CAPPED AT 100% / INPUT)</t>
  </si>
  <si>
    <t>Sub-weightage</t>
  </si>
  <si>
    <t>unit Data</t>
  </si>
  <si>
    <t>Benchmarks Score</t>
  </si>
  <si>
    <t xml:space="preserve">Data </t>
  </si>
  <si>
    <t>Mark Obtained</t>
  </si>
  <si>
    <t>No. per Institution</t>
  </si>
  <si>
    <t>millions titles per Institution</t>
  </si>
  <si>
    <t>Unit Data</t>
  </si>
  <si>
    <t>Benchmarks</t>
  </si>
  <si>
    <t>% of staff</t>
  </si>
  <si>
    <t>No./staff</t>
  </si>
  <si>
    <t xml:space="preserve"> No./staff</t>
  </si>
  <si>
    <t>% Achievement</t>
  </si>
  <si>
    <t>Benchmark score</t>
  </si>
  <si>
    <t>% of Operational Expenditure for R&amp;D</t>
  </si>
  <si>
    <t>% Achivement</t>
  </si>
  <si>
    <t>Sub-SUB-weightage</t>
  </si>
  <si>
    <t>% pencapaian</t>
  </si>
  <si>
    <t>no./staff</t>
  </si>
  <si>
    <t>No. of joint articles/staff</t>
  </si>
  <si>
    <t>-</t>
  </si>
  <si>
    <t>RM/staff</t>
  </si>
  <si>
    <t>% of grant amount spent</t>
  </si>
  <si>
    <t>no</t>
  </si>
  <si>
    <t>Publications</t>
  </si>
  <si>
    <t>30k ST 12k SS</t>
  </si>
  <si>
    <t>10k ST 6k SS</t>
  </si>
  <si>
    <t>10k ST 12k SS</t>
  </si>
  <si>
    <t>Cut Off</t>
  </si>
  <si>
    <t>no / staff</t>
  </si>
  <si>
    <t>No / staff</t>
  </si>
  <si>
    <t>No. PG/UG</t>
  </si>
  <si>
    <t>%</t>
  </si>
  <si>
    <t>No. per Institution / year</t>
  </si>
  <si>
    <t>Benchmark Score</t>
  </si>
  <si>
    <t>Marks Obtained</t>
  </si>
  <si>
    <t>Marks Obtained (uncapped)</t>
  </si>
  <si>
    <t>% Pencapaian (uncapped)</t>
  </si>
  <si>
    <t>no of staff</t>
  </si>
  <si>
    <t>no of awards</t>
  </si>
  <si>
    <t>Max</t>
  </si>
  <si>
    <t>Intermediate Calculation</t>
  </si>
  <si>
    <t xml:space="preserve">60k ST 24k SS </t>
  </si>
  <si>
    <t>20k ST
12k SS</t>
  </si>
  <si>
    <t xml:space="preserve">20k ST 24k SS </t>
  </si>
  <si>
    <t xml:space="preserve">% </t>
  </si>
  <si>
    <t>No. per institution</t>
  </si>
  <si>
    <t>Section</t>
  </si>
  <si>
    <t>Full Mark</t>
  </si>
  <si>
    <t>Section B: Quantity and Quality of Researchers</t>
  </si>
  <si>
    <t>Section C: Quantity and Quality of Research</t>
  </si>
  <si>
    <t>Section D: Quantity and Quality of Postgraduates</t>
  </si>
  <si>
    <t>Section E: Innovation</t>
  </si>
  <si>
    <t xml:space="preserve">Section F: Professional Services and Gifts </t>
  </si>
  <si>
    <t>Section G: Networking and Linkages</t>
  </si>
  <si>
    <t>Seksyen H: Lab Acreditation</t>
  </si>
  <si>
    <t>Total</t>
  </si>
  <si>
    <t>% Uncapped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</si>
</sst>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00"/>
    <numFmt numFmtId="165" formatCode="0.0"/>
    <numFmt numFmtId="166" formatCode="0.000000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_(* #,##0.00000000_);_(* \(#,##0.00000000\);_(* &quot;-&quot;??_);_(@_)"/>
    <numFmt numFmtId="171" formatCode="_(* #,##0.0000000_);_(* \(#,##0.0000000\);_(* &quot;-&quot;??_);_(@_)"/>
    <numFmt numFmtId="172" formatCode="#,##0.0"/>
    <numFmt numFmtId="173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name val="Arial Narrow"/>
      <family val="2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0" fontId="0" fillId="6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2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horizontal="left" vertical="center" wrapText="1" inden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justify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 inden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2" xfId="0" applyFont="1" applyFill="1" applyBorder="1" applyAlignment="1" applyProtection="1">
      <alignment horizontal="left" vertical="center" wrapText="1" indent="1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2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9" fontId="5" fillId="0" borderId="4" xfId="0" applyNumberFormat="1" applyFont="1" applyBorder="1" applyAlignment="1" applyProtection="1">
      <alignment horizontal="center" vertical="center" wrapText="1"/>
      <protection hidden="1"/>
    </xf>
    <xf numFmtId="2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5" fillId="0" borderId="2" xfId="0" applyNumberFormat="1" applyFont="1" applyBorder="1" applyAlignment="1" applyProtection="1">
      <alignment horizontal="center"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hidden="1"/>
    </xf>
    <xf numFmtId="9" fontId="3" fillId="10" borderId="1" xfId="2" applyFont="1" applyFill="1" applyBorder="1" applyAlignment="1" applyProtection="1">
      <alignment horizontal="center" vertical="center"/>
      <protection hidden="1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9" fontId="0" fillId="2" borderId="1" xfId="2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4" fillId="11" borderId="3" xfId="0" applyFont="1" applyFill="1" applyBorder="1" applyAlignment="1" applyProtection="1">
      <alignment horizontal="center" vertical="center" wrapText="1"/>
      <protection hidden="1"/>
    </xf>
    <xf numFmtId="164" fontId="0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4" xfId="0" applyNumberFormat="1" applyFont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Font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Fill="1" applyBorder="1" applyAlignment="1" applyProtection="1">
      <alignment horizontal="left" vertical="center" wrapText="1" indent="1"/>
      <protection hidden="1"/>
    </xf>
    <xf numFmtId="0" fontId="0" fillId="0" borderId="1" xfId="0" applyFont="1" applyFill="1" applyBorder="1" applyAlignment="1" applyProtection="1">
      <alignment horizontal="left" vertical="center" wrapText="1" indent="2"/>
      <protection hidden="1"/>
    </xf>
    <xf numFmtId="0" fontId="4" fillId="11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0" fillId="7" borderId="1" xfId="0" applyFont="1" applyFill="1" applyBorder="1" applyAlignment="1" applyProtection="1">
      <alignment vertical="center"/>
      <protection hidden="1"/>
    </xf>
    <xf numFmtId="2" fontId="4" fillId="9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1" fontId="4" fillId="9" borderId="1" xfId="2" applyNumberFormat="1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Border="1" applyAlignment="1" applyProtection="1">
      <alignment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2" fontId="4" fillId="7" borderId="1" xfId="0" applyNumberFormat="1" applyFont="1" applyFill="1" applyBorder="1" applyAlignment="1" applyProtection="1">
      <alignment horizontal="center" vertical="center"/>
      <protection hidden="1"/>
    </xf>
    <xf numFmtId="9" fontId="4" fillId="7" borderId="1" xfId="2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2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1" fontId="3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" xfId="0" applyNumberFormat="1" applyFont="1" applyFill="1" applyBorder="1" applyAlignment="1" applyProtection="1">
      <alignment horizontal="center" vertical="center"/>
      <protection hidden="1"/>
    </xf>
    <xf numFmtId="2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9" fontId="2" fillId="0" borderId="1" xfId="2" applyFont="1" applyBorder="1" applyAlignment="1" applyProtection="1">
      <alignment horizontal="center" vertical="center"/>
      <protection hidden="1"/>
    </xf>
    <xf numFmtId="9" fontId="4" fillId="7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2" fontId="4" fillId="12" borderId="1" xfId="1" applyNumberFormat="1" applyFont="1" applyFill="1" applyBorder="1" applyAlignment="1" applyProtection="1">
      <alignment horizontal="center" vertical="center"/>
      <protection hidden="1"/>
    </xf>
    <xf numFmtId="1" fontId="4" fillId="9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7" borderId="4" xfId="0" applyFont="1" applyFill="1" applyBorder="1" applyAlignment="1" applyProtection="1">
      <alignment horizontal="center" vertical="center" wrapText="1"/>
      <protection hidden="1"/>
    </xf>
    <xf numFmtId="9" fontId="4" fillId="7" borderId="4" xfId="2" applyFont="1" applyFill="1" applyBorder="1" applyAlignment="1" applyProtection="1">
      <alignment horizontal="center" vertical="center" wrapText="1"/>
      <protection hidden="1"/>
    </xf>
    <xf numFmtId="9" fontId="4" fillId="7" borderId="4" xfId="0" applyNumberFormat="1" applyFont="1" applyFill="1" applyBorder="1" applyAlignment="1" applyProtection="1">
      <alignment horizontal="center" vertical="center" wrapText="1"/>
      <protection hidden="1"/>
    </xf>
    <xf numFmtId="2" fontId="4" fillId="7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4" xfId="0" applyFont="1" applyFill="1" applyBorder="1" applyAlignment="1" applyProtection="1">
      <alignment horizontal="center" vertical="center"/>
      <protection hidden="1"/>
    </xf>
    <xf numFmtId="2" fontId="3" fillId="7" borderId="4" xfId="0" applyNumberFormat="1" applyFont="1" applyFill="1" applyBorder="1" applyAlignment="1" applyProtection="1">
      <alignment horizontal="center" vertical="center"/>
      <protection hidden="1"/>
    </xf>
    <xf numFmtId="4" fontId="4" fillId="5" borderId="4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quotePrefix="1" applyFont="1" applyFill="1" applyBorder="1" applyAlignment="1" applyProtection="1">
      <alignment horizontal="center" vertical="center" wrapText="1"/>
      <protection hidden="1"/>
    </xf>
    <xf numFmtId="9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72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173" fontId="0" fillId="2" borderId="1" xfId="0" applyNumberFormat="1" applyFont="1" applyFill="1" applyBorder="1" applyAlignment="1" applyProtection="1">
      <alignment vertical="center"/>
      <protection hidden="1"/>
    </xf>
    <xf numFmtId="168" fontId="6" fillId="2" borderId="1" xfId="1" applyNumberFormat="1" applyFont="1" applyFill="1" applyBorder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9" fontId="3" fillId="2" borderId="1" xfId="2" applyFont="1" applyFill="1" applyBorder="1" applyAlignment="1" applyProtection="1">
      <alignment horizontal="center" vertical="center"/>
      <protection hidden="1"/>
    </xf>
    <xf numFmtId="9" fontId="5" fillId="0" borderId="1" xfId="0" applyNumberFormat="1" applyFont="1" applyFill="1" applyBorder="1" applyAlignment="1" applyProtection="1">
      <alignment horizontal="center" vertical="center"/>
      <protection hidden="1"/>
    </xf>
    <xf numFmtId="17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9" borderId="1" xfId="0" applyNumberFormat="1" applyFont="1" applyFill="1" applyBorder="1" applyAlignment="1" applyProtection="1">
      <alignment horizontal="center" vertical="center"/>
      <protection hidden="1"/>
    </xf>
    <xf numFmtId="173" fontId="0" fillId="0" borderId="1" xfId="0" applyNumberFormat="1" applyFont="1" applyFill="1" applyBorder="1" applyAlignment="1" applyProtection="1">
      <alignment vertical="center"/>
      <protection hidden="1"/>
    </xf>
    <xf numFmtId="173" fontId="0" fillId="0" borderId="1" xfId="0" applyNumberFormat="1" applyFont="1" applyBorder="1" applyAlignment="1" applyProtection="1">
      <alignment vertical="center"/>
      <protection hidden="1"/>
    </xf>
    <xf numFmtId="9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17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" fontId="3" fillId="9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0" quotePrefix="1" applyFont="1" applyFill="1" applyBorder="1" applyAlignment="1" applyProtection="1">
      <alignment horizontal="center" vertical="center" wrapText="1"/>
      <protection hidden="1"/>
    </xf>
    <xf numFmtId="9" fontId="0" fillId="2" borderId="1" xfId="0" quotePrefix="1" applyNumberFormat="1" applyFont="1" applyFill="1" applyBorder="1" applyAlignment="1" applyProtection="1">
      <alignment horizontal="center" vertical="center" wrapText="1"/>
      <protection hidden="1"/>
    </xf>
    <xf numFmtId="3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43" fontId="0" fillId="2" borderId="1" xfId="1" applyFont="1" applyFill="1" applyBorder="1" applyAlignment="1" applyProtection="1">
      <alignment horizontal="center" vertical="center"/>
      <protection hidden="1"/>
    </xf>
    <xf numFmtId="167" fontId="0" fillId="2" borderId="1" xfId="0" applyNumberFormat="1" applyFont="1" applyFill="1" applyBorder="1" applyAlignment="1" applyProtection="1">
      <alignment vertical="center"/>
      <protection hidden="1"/>
    </xf>
    <xf numFmtId="43" fontId="3" fillId="2" borderId="1" xfId="1" applyFont="1" applyFill="1" applyBorder="1" applyAlignment="1" applyProtection="1">
      <alignment vertical="center"/>
      <protection hidden="1"/>
    </xf>
    <xf numFmtId="3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3" fillId="9" borderId="1" xfId="1" applyFont="1" applyFill="1" applyBorder="1" applyAlignment="1" applyProtection="1">
      <alignment horizontal="center" vertical="center"/>
      <protection hidden="1"/>
    </xf>
    <xf numFmtId="167" fontId="0" fillId="0" borderId="1" xfId="0" applyNumberFormat="1" applyFont="1" applyBorder="1" applyAlignment="1" applyProtection="1">
      <alignment vertical="center"/>
      <protection hidden="1"/>
    </xf>
    <xf numFmtId="43" fontId="3" fillId="3" borderId="1" xfId="1" applyFont="1" applyFill="1" applyBorder="1" applyAlignment="1" applyProtection="1">
      <alignment vertical="center"/>
      <protection locked="0"/>
    </xf>
    <xf numFmtId="9" fontId="3" fillId="0" borderId="1" xfId="2" applyFont="1" applyFill="1" applyBorder="1" applyAlignment="1" applyProtection="1">
      <alignment horizontal="center" vertical="center"/>
      <protection hidden="1"/>
    </xf>
    <xf numFmtId="171" fontId="0" fillId="0" borderId="1" xfId="0" applyNumberFormat="1" applyFont="1" applyBorder="1" applyAlignment="1" applyProtection="1">
      <alignment vertical="center"/>
      <protection hidden="1"/>
    </xf>
    <xf numFmtId="167" fontId="3" fillId="9" borderId="1" xfId="0" applyNumberFormat="1" applyFont="1" applyFill="1" applyBorder="1" applyAlignment="1" applyProtection="1">
      <alignment horizontal="center" vertical="center"/>
      <protection hidden="1"/>
    </xf>
    <xf numFmtId="43" fontId="4" fillId="2" borderId="1" xfId="1" applyFont="1" applyFill="1" applyBorder="1" applyAlignment="1" applyProtection="1">
      <alignment vertical="center"/>
      <protection hidden="1"/>
    </xf>
    <xf numFmtId="9" fontId="3" fillId="7" borderId="1" xfId="2" applyFont="1" applyFill="1" applyBorder="1" applyAlignment="1" applyProtection="1">
      <alignment horizontal="center" vertical="center"/>
      <protection hidden="1"/>
    </xf>
    <xf numFmtId="9" fontId="10" fillId="7" borderId="1" xfId="2" applyFont="1" applyFill="1" applyBorder="1" applyAlignment="1" applyProtection="1">
      <alignment horizontal="center" vertical="center"/>
      <protection hidden="1"/>
    </xf>
    <xf numFmtId="4" fontId="2" fillId="7" borderId="1" xfId="0" applyNumberFormat="1" applyFont="1" applyFill="1" applyBorder="1" applyAlignment="1" applyProtection="1">
      <alignment horizontal="center" vertical="center"/>
      <protection hidden="1"/>
    </xf>
    <xf numFmtId="0" fontId="0" fillId="7" borderId="1" xfId="0" applyFont="1" applyFill="1" applyBorder="1" applyAlignment="1" applyProtection="1">
      <alignment horizontal="center" vertical="center"/>
      <protection hidden="1"/>
    </xf>
    <xf numFmtId="2" fontId="3" fillId="0" borderId="1" xfId="2" applyNumberFormat="1" applyFont="1" applyFill="1" applyBorder="1" applyAlignment="1" applyProtection="1">
      <alignment horizontal="center" vertical="center"/>
      <protection hidden="1"/>
    </xf>
    <xf numFmtId="9" fontId="0" fillId="2" borderId="1" xfId="2" applyFont="1" applyFill="1" applyBorder="1" applyAlignment="1" applyProtection="1">
      <alignment horizontal="center" vertical="center" wrapText="1"/>
      <protection hidden="1"/>
    </xf>
    <xf numFmtId="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9" fontId="5" fillId="0" borderId="1" xfId="0" quotePrefix="1" applyNumberFormat="1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164" fontId="4" fillId="9" borderId="1" xfId="0" applyNumberFormat="1" applyFont="1" applyFill="1" applyBorder="1" applyAlignment="1" applyProtection="1">
      <alignment horizontal="center" vertical="center"/>
      <protection hidden="1"/>
    </xf>
    <xf numFmtId="2" fontId="4" fillId="2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center" vertical="center"/>
      <protection hidden="1"/>
    </xf>
    <xf numFmtId="2" fontId="4" fillId="9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quotePrefix="1" applyNumberFormat="1" applyFont="1" applyBorder="1" applyAlignment="1" applyProtection="1">
      <alignment horizontal="center" vertical="center"/>
      <protection hidden="1"/>
    </xf>
    <xf numFmtId="0" fontId="5" fillId="0" borderId="1" xfId="0" quotePrefix="1" applyFont="1" applyBorder="1" applyAlignment="1" applyProtection="1">
      <alignment horizontal="center" vertical="center"/>
      <protection hidden="1"/>
    </xf>
    <xf numFmtId="9" fontId="5" fillId="0" borderId="1" xfId="2" applyFont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9" fontId="4" fillId="9" borderId="1" xfId="0" applyNumberFormat="1" applyFont="1" applyFill="1" applyBorder="1" applyAlignment="1" applyProtection="1">
      <alignment horizontal="center" vertical="center"/>
      <protection hidden="1"/>
    </xf>
    <xf numFmtId="9" fontId="4" fillId="2" borderId="1" xfId="2" applyFont="1" applyFill="1" applyBorder="1" applyAlignment="1" applyProtection="1">
      <alignment horizontal="center" vertical="center"/>
      <protection hidden="1"/>
    </xf>
    <xf numFmtId="3" fontId="5" fillId="2" borderId="1" xfId="0" quotePrefix="1" applyNumberFormat="1" applyFont="1" applyFill="1" applyBorder="1" applyAlignment="1" applyProtection="1">
      <alignment horizontal="center" vertical="center" wrapText="1"/>
      <protection hidden="1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9" fontId="5" fillId="2" borderId="1" xfId="2" applyFont="1" applyFill="1" applyBorder="1" applyAlignment="1" applyProtection="1">
      <alignment horizontal="center" vertical="center"/>
      <protection hidden="1"/>
    </xf>
    <xf numFmtId="3" fontId="4" fillId="9" borderId="1" xfId="0" applyNumberFormat="1" applyFont="1" applyFill="1" applyBorder="1" applyAlignment="1" applyProtection="1">
      <alignment horizontal="center" vertical="center"/>
      <protection hidden="1"/>
    </xf>
    <xf numFmtId="0" fontId="4" fillId="7" borderId="4" xfId="0" applyFont="1" applyFill="1" applyBorder="1" applyAlignment="1" applyProtection="1">
      <alignment horizontal="center" vertical="center"/>
      <protection hidden="1"/>
    </xf>
    <xf numFmtId="9" fontId="4" fillId="7" borderId="4" xfId="0" applyNumberFormat="1" applyFont="1" applyFill="1" applyBorder="1" applyAlignment="1" applyProtection="1">
      <alignment horizontal="center" vertical="center"/>
      <protection hidden="1"/>
    </xf>
    <xf numFmtId="0" fontId="5" fillId="7" borderId="4" xfId="0" applyFont="1" applyFill="1" applyBorder="1" applyAlignment="1" applyProtection="1">
      <alignment horizontal="center" vertical="center"/>
      <protection hidden="1"/>
    </xf>
    <xf numFmtId="2" fontId="4" fillId="7" borderId="4" xfId="0" applyNumberFormat="1" applyFont="1" applyFill="1" applyBorder="1" applyAlignment="1" applyProtection="1">
      <alignment horizontal="center" vertical="center"/>
      <protection hidden="1"/>
    </xf>
    <xf numFmtId="4" fontId="4" fillId="9" borderId="2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" xfId="2" applyFont="1" applyBorder="1" applyAlignment="1" applyProtection="1">
      <alignment horizontal="center" vertical="center"/>
      <protection hidden="1"/>
    </xf>
    <xf numFmtId="173" fontId="0" fillId="0" borderId="1" xfId="0" applyNumberFormat="1" applyFont="1" applyBorder="1" applyAlignment="1" applyProtection="1">
      <alignment horizontal="center" vertical="center"/>
      <protection hidden="1"/>
    </xf>
    <xf numFmtId="165" fontId="3" fillId="0" borderId="1" xfId="0" quotePrefix="1" applyNumberFormat="1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 applyProtection="1">
      <alignment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4" fontId="4" fillId="15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2" fontId="3" fillId="2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1" fontId="4" fillId="15" borderId="1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1" xfId="2" applyFont="1" applyBorder="1" applyAlignment="1" applyProtection="1">
      <alignment horizontal="center" vertical="center"/>
      <protection hidden="1"/>
    </xf>
    <xf numFmtId="2" fontId="3" fillId="0" borderId="1" xfId="2" applyNumberFormat="1" applyFont="1" applyBorder="1" applyAlignment="1" applyProtection="1">
      <alignment horizontal="center" vertical="center"/>
      <protection hidden="1"/>
    </xf>
    <xf numFmtId="3" fontId="4" fillId="15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15" borderId="1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9" fontId="4" fillId="7" borderId="1" xfId="2" applyFont="1" applyFill="1" applyBorder="1" applyAlignment="1" applyProtection="1">
      <alignment horizontal="center" vertical="center" wrapText="1"/>
      <protection hidden="1"/>
    </xf>
    <xf numFmtId="9" fontId="4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4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3" fillId="7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Border="1" applyAlignment="1" applyProtection="1">
      <alignment horizontal="center" vertical="center"/>
      <protection hidden="1"/>
    </xf>
    <xf numFmtId="0" fontId="3" fillId="2" borderId="1" xfId="2" applyNumberFormat="1" applyFont="1" applyFill="1" applyBorder="1" applyAlignment="1" applyProtection="1">
      <alignment horizontal="center" vertical="center"/>
      <protection hidden="1"/>
    </xf>
    <xf numFmtId="4" fontId="3" fillId="0" borderId="1" xfId="2" applyNumberFormat="1" applyFont="1" applyBorder="1" applyAlignment="1" applyProtection="1">
      <alignment horizontal="center" vertical="center"/>
      <protection hidden="1"/>
    </xf>
    <xf numFmtId="0" fontId="3" fillId="7" borderId="1" xfId="2" applyNumberFormat="1" applyFont="1" applyFill="1" applyBorder="1" applyAlignment="1" applyProtection="1">
      <alignment horizontal="center" vertical="center"/>
      <protection hidden="1"/>
    </xf>
    <xf numFmtId="0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73" fontId="0" fillId="2" borderId="1" xfId="0" applyNumberFormat="1" applyFont="1" applyFill="1" applyBorder="1" applyAlignment="1" applyProtection="1">
      <alignment horizontal="center" vertical="center"/>
      <protection hidden="1"/>
    </xf>
    <xf numFmtId="168" fontId="3" fillId="2" borderId="1" xfId="1" applyNumberFormat="1" applyFont="1" applyFill="1" applyBorder="1" applyAlignment="1" applyProtection="1">
      <alignment horizontal="center" vertical="center"/>
      <protection hidden="1"/>
    </xf>
    <xf numFmtId="9" fontId="0" fillId="0" borderId="1" xfId="0" applyNumberFormat="1" applyFont="1" applyFill="1" applyBorder="1" applyAlignment="1" applyProtection="1">
      <alignment horizontal="center" vertical="center"/>
      <protection hidden="1"/>
    </xf>
    <xf numFmtId="1" fontId="3" fillId="15" borderId="1" xfId="0" applyNumberFormat="1" applyFont="1" applyFill="1" applyBorder="1" applyAlignment="1" applyProtection="1">
      <alignment horizontal="center" vertical="center"/>
      <protection hidden="1"/>
    </xf>
    <xf numFmtId="173" fontId="0" fillId="0" borderId="1" xfId="0" applyNumberFormat="1" applyFont="1" applyFill="1" applyBorder="1" applyAlignment="1" applyProtection="1">
      <alignment horizontal="center" vertical="center"/>
      <protection hidden="1"/>
    </xf>
    <xf numFmtId="172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15" borderId="1" xfId="0" applyFont="1" applyFill="1" applyBorder="1" applyAlignment="1" applyProtection="1">
      <alignment horizontal="center" vertical="center"/>
      <protection hidden="1"/>
    </xf>
    <xf numFmtId="9" fontId="0" fillId="2" borderId="1" xfId="0" applyNumberFormat="1" applyFont="1" applyFill="1" applyBorder="1" applyAlignment="1" applyProtection="1">
      <alignment horizontal="center" vertical="center"/>
      <protection hidden="1"/>
    </xf>
    <xf numFmtId="172" fontId="0" fillId="8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15" borderId="1" xfId="1" applyNumberFormat="1" applyFont="1" applyFill="1" applyBorder="1" applyAlignment="1" applyProtection="1">
      <alignment horizontal="center" vertical="center"/>
      <protection hidden="1"/>
    </xf>
    <xf numFmtId="9" fontId="0" fillId="0" borderId="1" xfId="2" applyFont="1" applyFill="1" applyBorder="1" applyAlignment="1" applyProtection="1">
      <alignment horizontal="center" vertical="center" wrapText="1"/>
      <protection hidden="1"/>
    </xf>
    <xf numFmtId="4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3" fillId="2" borderId="1" xfId="1" applyFont="1" applyFill="1" applyBorder="1" applyAlignment="1" applyProtection="1">
      <alignment horizontal="center" vertical="center"/>
      <protection hidden="1"/>
    </xf>
    <xf numFmtId="167" fontId="0" fillId="2" borderId="1" xfId="0" applyNumberFormat="1" applyFont="1" applyFill="1" applyBorder="1" applyAlignment="1" applyProtection="1">
      <alignment horizontal="center" vertical="center"/>
      <protection hidden="1"/>
    </xf>
    <xf numFmtId="43" fontId="3" fillId="0" borderId="1" xfId="1" applyFont="1" applyFill="1" applyBorder="1" applyAlignment="1" applyProtection="1">
      <alignment horizontal="center" vertical="center"/>
      <protection hidden="1"/>
    </xf>
    <xf numFmtId="167" fontId="0" fillId="0" borderId="1" xfId="0" applyNumberFormat="1" applyFont="1" applyFill="1" applyBorder="1" applyAlignment="1" applyProtection="1">
      <alignment horizontal="center" vertical="center"/>
      <protection hidden="1"/>
    </xf>
    <xf numFmtId="43" fontId="3" fillId="15" borderId="1" xfId="1" applyFont="1" applyFill="1" applyBorder="1" applyAlignment="1" applyProtection="1">
      <alignment horizontal="center" vertical="center"/>
      <protection hidden="1"/>
    </xf>
    <xf numFmtId="171" fontId="0" fillId="0" borderId="1" xfId="0" applyNumberFormat="1" applyFont="1" applyBorder="1" applyAlignment="1" applyProtection="1">
      <alignment horizontal="center" vertical="center"/>
      <protection hidden="1"/>
    </xf>
    <xf numFmtId="167" fontId="3" fillId="15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2" fontId="4" fillId="15" borderId="1" xfId="0" applyNumberFormat="1" applyFont="1" applyFill="1" applyBorder="1" applyAlignment="1" applyProtection="1">
      <alignment horizontal="center" vertical="center"/>
      <protection hidden="1"/>
    </xf>
    <xf numFmtId="9" fontId="4" fillId="15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15" borderId="1" xfId="0" applyFont="1" applyFill="1" applyBorder="1" applyAlignment="1" applyProtection="1">
      <alignment horizontal="center" vertical="center"/>
      <protection hidden="1"/>
    </xf>
    <xf numFmtId="2" fontId="4" fillId="7" borderId="1" xfId="2" applyNumberFormat="1" applyFont="1" applyFill="1" applyBorder="1" applyAlignment="1" applyProtection="1">
      <alignment horizontal="center" vertical="center"/>
      <protection hidden="1"/>
    </xf>
    <xf numFmtId="0" fontId="4" fillId="7" borderId="1" xfId="2" applyNumberFormat="1" applyFont="1" applyFill="1" applyBorder="1" applyAlignment="1" applyProtection="1">
      <alignment horizontal="center" vertical="center"/>
      <protection hidden="1"/>
    </xf>
    <xf numFmtId="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5" fontId="3" fillId="0" borderId="1" xfId="2" applyNumberFormat="1" applyFont="1" applyBorder="1" applyAlignment="1" applyProtection="1">
      <alignment horizontal="center" vertical="center"/>
      <protection hidden="1"/>
    </xf>
    <xf numFmtId="43" fontId="0" fillId="0" borderId="1" xfId="1" applyFont="1" applyFill="1" applyBorder="1" applyAlignment="1" applyProtection="1">
      <alignment horizontal="center" vertical="center" wrapText="1"/>
      <protection hidden="1"/>
    </xf>
    <xf numFmtId="2" fontId="0" fillId="0" borderId="1" xfId="1" applyNumberFormat="1" applyFont="1" applyBorder="1" applyAlignment="1" applyProtection="1">
      <alignment horizontal="center" vertical="center"/>
      <protection hidden="1"/>
    </xf>
    <xf numFmtId="167" fontId="3" fillId="15" borderId="1" xfId="1" applyNumberFormat="1" applyFont="1" applyFill="1" applyBorder="1" applyAlignment="1" applyProtection="1">
      <alignment horizontal="center" vertical="center"/>
      <protection hidden="1"/>
    </xf>
    <xf numFmtId="170" fontId="0" fillId="0" borderId="1" xfId="1" applyNumberFormat="1" applyFont="1" applyBorder="1" applyAlignment="1" applyProtection="1">
      <alignment horizontal="center" vertical="center"/>
      <protection hidden="1"/>
    </xf>
    <xf numFmtId="2" fontId="3" fillId="0" borderId="1" xfId="1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165" fontId="3" fillId="7" borderId="1" xfId="2" applyNumberFormat="1" applyFont="1" applyFill="1" applyBorder="1" applyAlignment="1" applyProtection="1">
      <alignment horizontal="center" vertical="center"/>
      <protection hidden="1"/>
    </xf>
    <xf numFmtId="1" fontId="3" fillId="15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1" fontId="3" fillId="7" borderId="4" xfId="0" applyNumberFormat="1" applyFont="1" applyFill="1" applyBorder="1" applyAlignment="1" applyProtection="1">
      <alignment horizontal="center" vertical="center"/>
      <protection hidden="1"/>
    </xf>
    <xf numFmtId="0" fontId="3" fillId="7" borderId="4" xfId="0" applyFont="1" applyFill="1" applyBorder="1" applyAlignment="1" applyProtection="1">
      <alignment horizontal="center" vertical="center"/>
      <protection hidden="1"/>
    </xf>
    <xf numFmtId="164" fontId="3" fillId="7" borderId="4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" xfId="2" applyNumberFormat="1" applyFont="1" applyBorder="1" applyAlignment="1" applyProtection="1">
      <alignment horizontal="center" vertical="center"/>
      <protection hidden="1"/>
    </xf>
    <xf numFmtId="1" fontId="4" fillId="7" borderId="1" xfId="0" applyNumberFormat="1" applyFont="1" applyFill="1" applyBorder="1" applyAlignment="1" applyProtection="1">
      <alignment horizontal="center" vertical="center" wrapText="1"/>
      <protection hidden="1"/>
    </xf>
    <xf numFmtId="169" fontId="0" fillId="7" borderId="1" xfId="2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9" borderId="1" xfId="0" applyFont="1" applyFill="1" applyBorder="1" applyAlignment="1" applyProtection="1">
      <alignment horizontal="center" vertical="center" wrapText="1"/>
      <protection hidden="1"/>
    </xf>
    <xf numFmtId="2" fontId="3" fillId="0" borderId="2" xfId="0" applyNumberFormat="1" applyFont="1" applyFill="1" applyBorder="1" applyAlignment="1" applyProtection="1">
      <alignment horizontal="center" vertical="center"/>
      <protection hidden="1"/>
    </xf>
    <xf numFmtId="2" fontId="3" fillId="0" borderId="4" xfId="0" applyNumberFormat="1" applyFont="1" applyFill="1" applyBorder="1" applyAlignment="1" applyProtection="1">
      <alignment horizontal="center" vertical="center"/>
      <protection hidden="1"/>
    </xf>
    <xf numFmtId="9" fontId="0" fillId="0" borderId="4" xfId="2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9" fontId="0" fillId="0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quotePrefix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9" fontId="0" fillId="0" borderId="1" xfId="0" quotePrefix="1" applyNumberFormat="1" applyFont="1" applyFill="1" applyBorder="1" applyAlignment="1" applyProtection="1">
      <alignment horizontal="center" vertical="center" wrapText="1"/>
      <protection hidden="1"/>
    </xf>
    <xf numFmtId="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" xfId="0" quotePrefix="1" applyNumberFormat="1" applyFont="1" applyBorder="1" applyAlignment="1" applyProtection="1">
      <alignment horizontal="center" vertical="center"/>
      <protection hidden="1"/>
    </xf>
    <xf numFmtId="165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9" fontId="0" fillId="0" borderId="1" xfId="2" applyFont="1" applyBorder="1" applyAlignment="1" applyProtection="1">
      <alignment horizontal="center" vertical="center" wrapText="1"/>
      <protection hidden="1"/>
    </xf>
    <xf numFmtId="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5" fillId="0" borderId="1" xfId="0" applyNumberFormat="1" applyFont="1" applyBorder="1" applyAlignment="1" applyProtection="1">
      <alignment horizontal="center" vertical="center" wrapText="1"/>
      <protection hidden="1"/>
    </xf>
    <xf numFmtId="9" fontId="5" fillId="0" borderId="1" xfId="0" quotePrefix="1" applyNumberFormat="1" applyFont="1" applyFill="1" applyBorder="1" applyAlignment="1" applyProtection="1">
      <alignment horizontal="center" vertical="center" wrapText="1"/>
      <protection hidden="1"/>
    </xf>
    <xf numFmtId="43" fontId="4" fillId="9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5" fillId="0" borderId="1" xfId="2" applyFont="1" applyBorder="1" applyAlignment="1" applyProtection="1">
      <alignment horizontal="center" vertical="center" wrapText="1"/>
      <protection hidden="1"/>
    </xf>
    <xf numFmtId="9" fontId="5" fillId="0" borderId="1" xfId="2" applyFont="1" applyFill="1" applyBorder="1" applyAlignment="1" applyProtection="1">
      <alignment horizontal="center" vertical="center" wrapText="1"/>
      <protection hidden="1"/>
    </xf>
    <xf numFmtId="171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1" fontId="3" fillId="3" borderId="1" xfId="1" applyNumberFormat="1" applyFont="1" applyFill="1" applyBorder="1" applyAlignment="1" applyProtection="1">
      <alignment horizontal="center" vertical="center"/>
      <protection hidden="1"/>
    </xf>
    <xf numFmtId="43" fontId="3" fillId="3" borderId="1" xfId="1" applyFont="1" applyFill="1" applyBorder="1" applyAlignment="1" applyProtection="1">
      <alignment horizontal="center" vertical="center"/>
      <protection hidden="1"/>
    </xf>
    <xf numFmtId="43" fontId="3" fillId="3" borderId="1" xfId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horizontal="center" vertical="center"/>
      <protection hidden="1"/>
    </xf>
    <xf numFmtId="167" fontId="3" fillId="3" borderId="1" xfId="0" applyNumberFormat="1" applyFont="1" applyFill="1" applyBorder="1" applyAlignment="1" applyProtection="1">
      <alignment vertical="center"/>
      <protection hidden="1"/>
    </xf>
    <xf numFmtId="167" fontId="3" fillId="3" borderId="1" xfId="0" applyNumberFormat="1" applyFont="1" applyFill="1" applyBorder="1" applyAlignment="1" applyProtection="1">
      <alignment horizontal="center" vertical="center"/>
      <protection hidden="1"/>
    </xf>
    <xf numFmtId="43" fontId="3" fillId="2" borderId="1" xfId="0" applyNumberFormat="1" applyFont="1" applyFill="1" applyBorder="1" applyProtection="1">
      <protection hidden="1"/>
    </xf>
    <xf numFmtId="43" fontId="4" fillId="3" borderId="1" xfId="1" applyFont="1" applyFill="1" applyBorder="1" applyAlignment="1" applyProtection="1">
      <alignment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43" fontId="4" fillId="3" borderId="1" xfId="1" applyFont="1" applyFill="1" applyBorder="1" applyAlignment="1" applyProtection="1">
      <alignment horizontal="center" vertical="center"/>
      <protection hidden="1"/>
    </xf>
    <xf numFmtId="43" fontId="4" fillId="3" borderId="1" xfId="1" applyFont="1" applyFill="1" applyBorder="1" applyAlignment="1" applyProtection="1">
      <alignment vertical="center" wrapText="1"/>
      <protection hidden="1"/>
    </xf>
    <xf numFmtId="165" fontId="3" fillId="2" borderId="1" xfId="1" applyNumberFormat="1" applyFont="1" applyFill="1" applyBorder="1" applyAlignment="1" applyProtection="1">
      <alignment horizontal="center" vertical="center"/>
      <protection hidden="1"/>
    </xf>
    <xf numFmtId="165" fontId="3" fillId="2" borderId="4" xfId="1" applyNumberFormat="1" applyFont="1" applyFill="1" applyBorder="1" applyAlignment="1" applyProtection="1">
      <alignment horizontal="center" vertical="center"/>
      <protection hidden="1"/>
    </xf>
    <xf numFmtId="0" fontId="0" fillId="13" borderId="1" xfId="0" applyFill="1" applyBorder="1" applyProtection="1">
      <protection hidden="1"/>
    </xf>
    <xf numFmtId="43" fontId="3" fillId="3" borderId="1" xfId="1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left" vertical="center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2" fontId="3" fillId="0" borderId="2" xfId="2" applyNumberFormat="1" applyFont="1" applyBorder="1" applyAlignment="1" applyProtection="1">
      <alignment horizontal="center" vertical="center"/>
      <protection hidden="1"/>
    </xf>
    <xf numFmtId="2" fontId="3" fillId="0" borderId="3" xfId="2" applyNumberFormat="1" applyFont="1" applyBorder="1" applyAlignment="1" applyProtection="1">
      <alignment horizontal="center" vertical="center"/>
      <protection hidden="1"/>
    </xf>
    <xf numFmtId="2" fontId="3" fillId="0" borderId="4" xfId="2" applyNumberFormat="1" applyFont="1" applyBorder="1" applyAlignment="1" applyProtection="1">
      <alignment horizontal="center" vertical="center"/>
      <protection hidden="1"/>
    </xf>
    <xf numFmtId="9" fontId="3" fillId="0" borderId="2" xfId="2" applyFont="1" applyBorder="1" applyAlignment="1" applyProtection="1">
      <alignment horizontal="center" vertical="center"/>
      <protection hidden="1"/>
    </xf>
    <xf numFmtId="9" fontId="3" fillId="0" borderId="3" xfId="2" applyFont="1" applyBorder="1" applyAlignment="1" applyProtection="1">
      <alignment horizontal="center" vertical="center"/>
      <protection hidden="1"/>
    </xf>
    <xf numFmtId="9" fontId="3" fillId="0" borderId="4" xfId="2" applyFont="1" applyBorder="1" applyAlignment="1" applyProtection="1">
      <alignment horizontal="center" vertical="center"/>
      <protection hidden="1"/>
    </xf>
    <xf numFmtId="165" fontId="3" fillId="0" borderId="2" xfId="2" applyNumberFormat="1" applyFont="1" applyBorder="1" applyAlignment="1" applyProtection="1">
      <alignment horizontal="center" vertical="center"/>
      <protection hidden="1"/>
    </xf>
    <xf numFmtId="165" fontId="3" fillId="0" borderId="3" xfId="2" applyNumberFormat="1" applyFont="1" applyBorder="1" applyAlignment="1" applyProtection="1">
      <alignment horizontal="center" vertical="center"/>
      <protection hidden="1"/>
    </xf>
    <xf numFmtId="165" fontId="3" fillId="0" borderId="4" xfId="2" applyNumberFormat="1" applyFont="1" applyBorder="1" applyAlignment="1" applyProtection="1">
      <alignment horizontal="center" vertical="center"/>
      <protection hidden="1"/>
    </xf>
    <xf numFmtId="9" fontId="0" fillId="8" borderId="2" xfId="0" applyNumberFormat="1" applyFont="1" applyFill="1" applyBorder="1" applyAlignment="1" applyProtection="1">
      <alignment horizontal="center" vertical="center" wrapText="1"/>
      <protection hidden="1"/>
    </xf>
    <xf numFmtId="9" fontId="0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9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" xfId="1" applyNumberFormat="1" applyFont="1" applyFill="1" applyBorder="1" applyAlignment="1" applyProtection="1">
      <alignment horizontal="center" vertical="center"/>
      <protection hidden="1"/>
    </xf>
    <xf numFmtId="2" fontId="3" fillId="0" borderId="4" xfId="1" applyNumberFormat="1" applyFont="1" applyFill="1" applyBorder="1" applyAlignment="1" applyProtection="1">
      <alignment horizontal="center" vertical="center"/>
      <protection hidden="1"/>
    </xf>
    <xf numFmtId="2" fontId="3" fillId="0" borderId="3" xfId="1" applyNumberFormat="1" applyFont="1" applyFill="1" applyBorder="1" applyAlignment="1" applyProtection="1">
      <alignment horizontal="center" vertical="center"/>
      <protection hidden="1"/>
    </xf>
    <xf numFmtId="2" fontId="3" fillId="0" borderId="2" xfId="0" applyNumberFormat="1" applyFont="1" applyFill="1" applyBorder="1" applyAlignment="1" applyProtection="1">
      <alignment horizontal="center" vertical="center"/>
      <protection hidden="1"/>
    </xf>
    <xf numFmtId="2" fontId="3" fillId="0" borderId="4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43" fontId="3" fillId="3" borderId="2" xfId="1" applyFont="1" applyFill="1" applyBorder="1" applyAlignment="1" applyProtection="1">
      <alignment horizontal="center" vertical="center" wrapText="1"/>
      <protection hidden="1"/>
    </xf>
    <xf numFmtId="43" fontId="3" fillId="3" borderId="3" xfId="1" applyFont="1" applyFill="1" applyBorder="1" applyAlignment="1" applyProtection="1">
      <alignment horizontal="center" vertical="center" wrapText="1"/>
      <protection hidden="1"/>
    </xf>
    <xf numFmtId="43" fontId="3" fillId="3" borderId="4" xfId="1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9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43" fontId="0" fillId="0" borderId="2" xfId="1" applyFont="1" applyFill="1" applyBorder="1" applyAlignment="1" applyProtection="1">
      <alignment horizontal="center" vertical="center" wrapText="1"/>
      <protection hidden="1"/>
    </xf>
    <xf numFmtId="43" fontId="0" fillId="0" borderId="4" xfId="1" applyFont="1" applyFill="1" applyBorder="1" applyAlignment="1" applyProtection="1">
      <alignment horizontal="center" vertical="center" wrapText="1"/>
      <protection hidden="1"/>
    </xf>
    <xf numFmtId="2" fontId="0" fillId="0" borderId="2" xfId="1" applyNumberFormat="1" applyFont="1" applyBorder="1" applyAlignment="1" applyProtection="1">
      <alignment horizontal="center" vertical="center"/>
      <protection hidden="1"/>
    </xf>
    <xf numFmtId="2" fontId="0" fillId="0" borderId="4" xfId="1" applyNumberFormat="1" applyFont="1" applyBorder="1" applyAlignment="1" applyProtection="1">
      <alignment horizontal="center" vertical="center"/>
      <protection hidden="1"/>
    </xf>
    <xf numFmtId="9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" xfId="0" applyNumberFormat="1" applyFont="1" applyBorder="1" applyAlignment="1" applyProtection="1">
      <alignment horizontal="center" vertical="center"/>
      <protection hidden="1"/>
    </xf>
    <xf numFmtId="2" fontId="0" fillId="0" borderId="4" xfId="0" applyNumberFormat="1" applyFont="1" applyBorder="1" applyAlignment="1" applyProtection="1">
      <alignment horizontal="center" vertical="center"/>
      <protection hidden="1"/>
    </xf>
    <xf numFmtId="9" fontId="3" fillId="15" borderId="2" xfId="0" applyNumberFormat="1" applyFont="1" applyFill="1" applyBorder="1" applyAlignment="1" applyProtection="1">
      <alignment horizontal="center" vertical="center"/>
      <protection hidden="1"/>
    </xf>
    <xf numFmtId="9" fontId="3" fillId="15" borderId="4" xfId="0" applyNumberFormat="1" applyFont="1" applyFill="1" applyBorder="1" applyAlignment="1" applyProtection="1">
      <alignment horizontal="center" vertical="center"/>
      <protection hidden="1"/>
    </xf>
    <xf numFmtId="2" fontId="3" fillId="8" borderId="2" xfId="0" applyNumberFormat="1" applyFont="1" applyFill="1" applyBorder="1" applyAlignment="1" applyProtection="1">
      <alignment horizontal="center" vertical="center"/>
      <protection hidden="1"/>
    </xf>
    <xf numFmtId="2" fontId="3" fillId="8" borderId="4" xfId="0" applyNumberFormat="1" applyFont="1" applyFill="1" applyBorder="1" applyAlignment="1" applyProtection="1">
      <alignment horizontal="center" vertical="center"/>
      <protection hidden="1"/>
    </xf>
    <xf numFmtId="43" fontId="3" fillId="3" borderId="2" xfId="1" applyFont="1" applyFill="1" applyBorder="1" applyAlignment="1" applyProtection="1">
      <alignment horizontal="center" vertical="center"/>
      <protection hidden="1"/>
    </xf>
    <xf numFmtId="43" fontId="3" fillId="3" borderId="4" xfId="1" applyFont="1" applyFill="1" applyBorder="1" applyAlignment="1" applyProtection="1">
      <alignment horizontal="center" vertical="center"/>
      <protection hidden="1"/>
    </xf>
    <xf numFmtId="167" fontId="3" fillId="15" borderId="2" xfId="1" applyNumberFormat="1" applyFont="1" applyFill="1" applyBorder="1" applyAlignment="1" applyProtection="1">
      <alignment horizontal="center" vertical="center"/>
      <protection hidden="1"/>
    </xf>
    <xf numFmtId="167" fontId="3" fillId="15" borderId="4" xfId="1" applyNumberFormat="1" applyFont="1" applyFill="1" applyBorder="1" applyAlignment="1" applyProtection="1">
      <alignment horizontal="center" vertical="center"/>
      <protection hidden="1"/>
    </xf>
    <xf numFmtId="170" fontId="0" fillId="0" borderId="2" xfId="1" applyNumberFormat="1" applyFont="1" applyBorder="1" applyAlignment="1" applyProtection="1">
      <alignment horizontal="center" vertical="center"/>
      <protection hidden="1"/>
    </xf>
    <xf numFmtId="170" fontId="0" fillId="0" borderId="4" xfId="1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2" xfId="0" quotePrefix="1" applyFont="1" applyBorder="1" applyAlignment="1" applyProtection="1">
      <alignment horizontal="center" vertical="center"/>
      <protection hidden="1"/>
    </xf>
    <xf numFmtId="0" fontId="0" fillId="0" borderId="3" xfId="0" quotePrefix="1" applyFont="1" applyBorder="1" applyAlignment="1" applyProtection="1">
      <alignment horizontal="center" vertical="center"/>
      <protection hidden="1"/>
    </xf>
    <xf numFmtId="0" fontId="0" fillId="0" borderId="4" xfId="0" quotePrefix="1" applyFont="1" applyBorder="1" applyAlignment="1" applyProtection="1">
      <alignment horizontal="center" vertical="center"/>
      <protection hidden="1"/>
    </xf>
    <xf numFmtId="165" fontId="0" fillId="0" borderId="2" xfId="0" quotePrefix="1" applyNumberFormat="1" applyFont="1" applyBorder="1" applyAlignment="1" applyProtection="1">
      <alignment horizontal="center" vertical="center"/>
      <protection hidden="1"/>
    </xf>
    <xf numFmtId="165" fontId="0" fillId="0" borderId="3" xfId="0" quotePrefix="1" applyNumberFormat="1" applyFont="1" applyBorder="1" applyAlignment="1" applyProtection="1">
      <alignment horizontal="center" vertical="center"/>
      <protection hidden="1"/>
    </xf>
    <xf numFmtId="165" fontId="0" fillId="0" borderId="4" xfId="0" quotePrefix="1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9" fontId="5" fillId="0" borderId="2" xfId="2" applyFont="1" applyBorder="1" applyAlignment="1" applyProtection="1">
      <alignment horizontal="center" vertical="center"/>
      <protection hidden="1"/>
    </xf>
    <xf numFmtId="9" fontId="5" fillId="0" borderId="3" xfId="2" applyFont="1" applyBorder="1" applyAlignment="1" applyProtection="1">
      <alignment horizontal="center" vertical="center"/>
      <protection hidden="1"/>
    </xf>
    <xf numFmtId="9" fontId="5" fillId="0" borderId="4" xfId="2" applyFont="1" applyBorder="1" applyAlignment="1" applyProtection="1">
      <alignment horizontal="center" vertical="center"/>
      <protection hidden="1"/>
    </xf>
    <xf numFmtId="9" fontId="5" fillId="0" borderId="8" xfId="0" applyNumberFormat="1" applyFont="1" applyBorder="1" applyAlignment="1" applyProtection="1">
      <alignment horizontal="center" vertical="center" wrapText="1"/>
      <protection hidden="1"/>
    </xf>
    <xf numFmtId="9" fontId="5" fillId="0" borderId="12" xfId="0" applyNumberFormat="1" applyFont="1" applyBorder="1" applyAlignment="1" applyProtection="1">
      <alignment horizontal="center" vertical="center" wrapText="1"/>
      <protection hidden="1"/>
    </xf>
    <xf numFmtId="9" fontId="5" fillId="0" borderId="9" xfId="0" applyNumberFormat="1" applyFont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9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0" fillId="0" borderId="3" xfId="1" applyFont="1" applyFill="1" applyBorder="1" applyAlignment="1" applyProtection="1">
      <alignment horizontal="center" vertical="center" wrapText="1"/>
      <protection hidden="1"/>
    </xf>
    <xf numFmtId="2" fontId="0" fillId="0" borderId="3" xfId="1" applyNumberFormat="1" applyFont="1" applyBorder="1" applyAlignment="1" applyProtection="1">
      <alignment horizontal="center" vertical="center"/>
      <protection hidden="1"/>
    </xf>
    <xf numFmtId="167" fontId="3" fillId="15" borderId="3" xfId="1" applyNumberFormat="1" applyFont="1" applyFill="1" applyBorder="1" applyAlignment="1" applyProtection="1">
      <alignment horizontal="center" vertical="center"/>
      <protection hidden="1"/>
    </xf>
    <xf numFmtId="170" fontId="0" fillId="0" borderId="3" xfId="1" applyNumberFormat="1" applyFont="1" applyBorder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vertical="center" wrapText="1"/>
      <protection hidden="1"/>
    </xf>
    <xf numFmtId="0" fontId="4" fillId="9" borderId="6" xfId="0" applyFont="1" applyFill="1" applyBorder="1" applyAlignment="1" applyProtection="1">
      <alignment horizontal="center" vertical="center" wrapText="1"/>
      <protection hidden="1"/>
    </xf>
    <xf numFmtId="0" fontId="4" fillId="9" borderId="7" xfId="0" applyFont="1" applyFill="1" applyBorder="1" applyAlignment="1" applyProtection="1">
      <alignment horizontal="center" vertical="center" wrapText="1"/>
      <protection hidden="1"/>
    </xf>
    <xf numFmtId="9" fontId="0" fillId="0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49" fontId="0" fillId="0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quotePrefix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" xfId="0" quotePrefix="1" applyNumberFormat="1" applyFont="1" applyBorder="1" applyAlignment="1" applyProtection="1">
      <alignment horizontal="center" vertical="center"/>
      <protection hidden="1"/>
    </xf>
    <xf numFmtId="165" fontId="0" fillId="0" borderId="1" xfId="0" applyNumberFormat="1" applyFont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2" fontId="4" fillId="8" borderId="1" xfId="0" applyNumberFormat="1" applyFont="1" applyFill="1" applyBorder="1" applyAlignment="1" applyProtection="1">
      <alignment horizontal="center" vertical="center"/>
      <protection hidden="1"/>
    </xf>
    <xf numFmtId="9" fontId="3" fillId="10" borderId="2" xfId="2" applyFont="1" applyFill="1" applyBorder="1" applyAlignment="1" applyProtection="1">
      <alignment horizontal="center" vertical="center"/>
      <protection hidden="1"/>
    </xf>
    <xf numFmtId="9" fontId="3" fillId="10" borderId="4" xfId="2" applyFont="1" applyFill="1" applyBorder="1" applyAlignment="1" applyProtection="1">
      <alignment horizontal="center" vertical="center"/>
      <protection hidden="1"/>
    </xf>
    <xf numFmtId="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5" fillId="0" borderId="1" xfId="0" quotePrefix="1" applyNumberFormat="1" applyFont="1" applyFill="1" applyBorder="1" applyAlignment="1" applyProtection="1">
      <alignment horizontal="center" vertical="center" wrapText="1"/>
      <protection hidden="1"/>
    </xf>
    <xf numFmtId="9" fontId="0" fillId="0" borderId="2" xfId="2" applyFont="1" applyBorder="1" applyAlignment="1" applyProtection="1">
      <alignment horizontal="center" vertical="center" wrapText="1"/>
      <protection hidden="1"/>
    </xf>
    <xf numFmtId="9" fontId="0" fillId="0" borderId="3" xfId="2" applyFont="1" applyBorder="1" applyAlignment="1" applyProtection="1">
      <alignment horizontal="center" vertical="center" wrapText="1"/>
      <protection hidden="1"/>
    </xf>
    <xf numFmtId="9" fontId="0" fillId="0" borderId="4" xfId="2" applyFont="1" applyBorder="1" applyAlignment="1" applyProtection="1">
      <alignment horizontal="center" vertical="center" wrapText="1"/>
      <protection hidden="1"/>
    </xf>
    <xf numFmtId="9" fontId="5" fillId="0" borderId="14" xfId="0" applyNumberFormat="1" applyFont="1" applyBorder="1" applyAlignment="1" applyProtection="1">
      <alignment horizontal="center" vertical="center" wrapText="1"/>
      <protection hidden="1"/>
    </xf>
    <xf numFmtId="9" fontId="5" fillId="0" borderId="15" xfId="0" applyNumberFormat="1" applyFont="1" applyBorder="1" applyAlignment="1" applyProtection="1">
      <alignment horizontal="center" vertical="center" wrapText="1"/>
      <protection hidden="1"/>
    </xf>
    <xf numFmtId="9" fontId="5" fillId="0" borderId="11" xfId="0" applyNumberFormat="1" applyFont="1" applyBorder="1" applyAlignment="1" applyProtection="1">
      <alignment horizontal="center" vertical="center" wrapText="1"/>
      <protection hidden="1"/>
    </xf>
    <xf numFmtId="9" fontId="5" fillId="0" borderId="14" xfId="2" applyFont="1" applyBorder="1" applyAlignment="1" applyProtection="1">
      <alignment horizontal="center" vertical="center"/>
      <protection hidden="1"/>
    </xf>
    <xf numFmtId="9" fontId="5" fillId="0" borderId="11" xfId="2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9" fontId="5" fillId="0" borderId="2" xfId="2" applyFont="1" applyBorder="1" applyAlignment="1" applyProtection="1">
      <alignment horizontal="center" vertical="center" wrapText="1"/>
      <protection hidden="1"/>
    </xf>
    <xf numFmtId="9" fontId="5" fillId="0" borderId="3" xfId="2" applyFont="1" applyBorder="1" applyAlignment="1" applyProtection="1">
      <alignment horizontal="center" vertical="center" wrapText="1"/>
      <protection hidden="1"/>
    </xf>
    <xf numFmtId="9" fontId="5" fillId="0" borderId="4" xfId="2" applyFont="1" applyBorder="1" applyAlignment="1" applyProtection="1">
      <alignment horizontal="center" vertical="center" wrapText="1"/>
      <protection hidden="1"/>
    </xf>
    <xf numFmtId="0" fontId="0" fillId="0" borderId="2" xfId="2" applyNumberFormat="1" applyFont="1" applyBorder="1" applyAlignment="1" applyProtection="1">
      <alignment horizontal="center" vertical="center" wrapText="1"/>
      <protection hidden="1"/>
    </xf>
    <xf numFmtId="0" fontId="0" fillId="0" borderId="3" xfId="2" applyNumberFormat="1" applyFont="1" applyBorder="1" applyAlignment="1" applyProtection="1">
      <alignment horizontal="center" vertical="center" wrapText="1"/>
      <protection hidden="1"/>
    </xf>
    <xf numFmtId="0" fontId="0" fillId="0" borderId="4" xfId="2" applyNumberFormat="1" applyFont="1" applyBorder="1" applyAlignment="1" applyProtection="1">
      <alignment horizontal="center" vertical="center" wrapText="1"/>
      <protection hidden="1"/>
    </xf>
    <xf numFmtId="9" fontId="0" fillId="0" borderId="2" xfId="0" applyNumberFormat="1" applyFont="1" applyBorder="1" applyAlignment="1" applyProtection="1">
      <alignment horizontal="center" vertical="center" wrapText="1"/>
      <protection hidden="1"/>
    </xf>
    <xf numFmtId="9" fontId="0" fillId="0" borderId="3" xfId="0" applyNumberFormat="1" applyFont="1" applyBorder="1" applyAlignment="1" applyProtection="1">
      <alignment horizontal="center" vertical="center" wrapText="1"/>
      <protection hidden="1"/>
    </xf>
    <xf numFmtId="9" fontId="0" fillId="0" borderId="4" xfId="0" applyNumberFormat="1" applyFont="1" applyBorder="1" applyAlignment="1" applyProtection="1">
      <alignment horizontal="center" vertical="center" wrapText="1"/>
      <protection hidden="1"/>
    </xf>
    <xf numFmtId="9" fontId="4" fillId="9" borderId="1" xfId="2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9" fontId="5" fillId="0" borderId="1" xfId="0" applyNumberFormat="1" applyFont="1" applyBorder="1" applyAlignment="1" applyProtection="1">
      <alignment horizontal="center" vertical="center" wrapText="1"/>
      <protection hidden="1"/>
    </xf>
    <xf numFmtId="9" fontId="5" fillId="0" borderId="1" xfId="2" applyFont="1" applyBorder="1" applyAlignment="1" applyProtection="1">
      <alignment horizontal="center" vertical="center" wrapText="1"/>
      <protection hidden="1"/>
    </xf>
    <xf numFmtId="0" fontId="4" fillId="9" borderId="5" xfId="0" applyFont="1" applyFill="1" applyBorder="1" applyAlignment="1" applyProtection="1">
      <alignment horizontal="left" vertical="center" wrapText="1"/>
      <protection hidden="1"/>
    </xf>
    <xf numFmtId="0" fontId="4" fillId="9" borderId="6" xfId="0" applyFont="1" applyFill="1" applyBorder="1" applyAlignment="1" applyProtection="1">
      <alignment horizontal="left" vertical="center" wrapText="1"/>
      <protection hidden="1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0" fillId="0" borderId="1" xfId="2" applyNumberFormat="1" applyFont="1" applyBorder="1" applyAlignment="1" applyProtection="1">
      <alignment horizontal="center" vertical="center" wrapText="1"/>
      <protection hidden="1"/>
    </xf>
    <xf numFmtId="9" fontId="0" fillId="0" borderId="1" xfId="0" applyNumberFormat="1" applyFont="1" applyBorder="1" applyAlignment="1" applyProtection="1">
      <alignment horizontal="center" vertical="center" wrapText="1"/>
      <protection hidden="1"/>
    </xf>
    <xf numFmtId="9" fontId="0" fillId="0" borderId="1" xfId="2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43" fontId="4" fillId="9" borderId="1" xfId="1" applyFont="1" applyFill="1" applyBorder="1" applyAlignment="1" applyProtection="1">
      <alignment horizontal="center" vertical="center" wrapText="1"/>
      <protection hidden="1"/>
    </xf>
    <xf numFmtId="9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2" borderId="1" xfId="0" applyNumberFormat="1" applyFont="1" applyFill="1" applyBorder="1" applyAlignment="1" applyProtection="1">
      <alignment horizontal="center" vertical="center"/>
      <protection hidden="1"/>
    </xf>
    <xf numFmtId="9" fontId="3" fillId="10" borderId="3" xfId="2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165" fontId="4" fillId="8" borderId="1" xfId="0" applyNumberFormat="1" applyFont="1" applyFill="1" applyBorder="1" applyAlignment="1" applyProtection="1">
      <alignment horizontal="center" vertical="center"/>
      <protection hidden="1"/>
    </xf>
    <xf numFmtId="170" fontId="5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1" xfId="1" applyNumberFormat="1" applyFont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4" fillId="9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2" xfId="0" applyNumberFormat="1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2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6" fontId="5" fillId="0" borderId="2" xfId="0" applyNumberFormat="1" applyFont="1" applyBorder="1" applyAlignment="1" applyProtection="1">
      <alignment vertical="center"/>
      <protection hidden="1"/>
    </xf>
    <xf numFmtId="166" fontId="5" fillId="0" borderId="3" xfId="0" applyNumberFormat="1" applyFont="1" applyBorder="1" applyAlignment="1" applyProtection="1">
      <alignment vertical="center"/>
      <protection hidden="1"/>
    </xf>
    <xf numFmtId="166" fontId="5" fillId="0" borderId="4" xfId="0" applyNumberFormat="1" applyFont="1" applyBorder="1" applyAlignment="1" applyProtection="1">
      <alignment vertical="center"/>
      <protection hidden="1"/>
    </xf>
    <xf numFmtId="168" fontId="4" fillId="12" borderId="2" xfId="1" applyNumberFormat="1" applyFont="1" applyFill="1" applyBorder="1" applyAlignment="1" applyProtection="1">
      <alignment horizontal="center" vertical="center"/>
      <protection hidden="1"/>
    </xf>
    <xf numFmtId="168" fontId="4" fillId="12" borderId="3" xfId="1" applyNumberFormat="1" applyFont="1" applyFill="1" applyBorder="1" applyAlignment="1" applyProtection="1">
      <alignment horizontal="center" vertical="center"/>
      <protection hidden="1"/>
    </xf>
    <xf numFmtId="168" fontId="4" fillId="12" borderId="4" xfId="1" applyNumberFormat="1" applyFont="1" applyFill="1" applyBorder="1" applyAlignment="1" applyProtection="1">
      <alignment horizontal="center" vertical="center"/>
      <protection hidden="1"/>
    </xf>
    <xf numFmtId="0" fontId="3" fillId="9" borderId="5" xfId="0" applyFont="1" applyFill="1" applyBorder="1" applyAlignment="1" applyProtection="1">
      <alignment horizontal="left" vertical="center" wrapText="1"/>
      <protection hidden="1"/>
    </xf>
    <xf numFmtId="0" fontId="3" fillId="9" borderId="6" xfId="0" applyFont="1" applyFill="1" applyBorder="1" applyAlignment="1" applyProtection="1">
      <alignment horizontal="left" vertical="center" wrapText="1"/>
      <protection hidden="1"/>
    </xf>
    <xf numFmtId="9" fontId="5" fillId="0" borderId="1" xfId="2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71" fontId="5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9" borderId="5" xfId="0" applyFont="1" applyFill="1" applyBorder="1" applyAlignment="1" applyProtection="1">
      <alignment horizontal="left" vertical="center"/>
      <protection hidden="1"/>
    </xf>
    <xf numFmtId="0" fontId="3" fillId="9" borderId="6" xfId="0" applyFont="1" applyFill="1" applyBorder="1" applyAlignment="1" applyProtection="1">
      <alignment horizontal="left" vertical="center"/>
      <protection hidden="1"/>
    </xf>
    <xf numFmtId="0" fontId="3" fillId="9" borderId="7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3" fillId="9" borderId="1" xfId="0" applyFont="1" applyFill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left" vertical="center"/>
      <protection hidden="1"/>
    </xf>
    <xf numFmtId="0" fontId="4" fillId="9" borderId="6" xfId="0" applyFont="1" applyFill="1" applyBorder="1" applyAlignment="1" applyProtection="1">
      <alignment horizontal="left" vertical="center"/>
      <protection hidden="1"/>
    </xf>
    <xf numFmtId="0" fontId="4" fillId="9" borderId="7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0" borderId="3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4" fillId="9" borderId="1" xfId="0" applyFont="1" applyFill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3" fillId="14" borderId="2" xfId="0" applyFont="1" applyFill="1" applyBorder="1" applyAlignment="1" applyProtection="1">
      <alignment horizontal="left" vertical="center" wrapText="1"/>
      <protection hidden="1"/>
    </xf>
    <xf numFmtId="0" fontId="3" fillId="14" borderId="4" xfId="0" applyFont="1" applyFill="1" applyBorder="1" applyAlignment="1" applyProtection="1">
      <alignment horizontal="left" vertical="center" wrapText="1"/>
      <protection hidden="1"/>
    </xf>
    <xf numFmtId="0" fontId="3" fillId="7" borderId="5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horizontal="left" vertical="center" wrapText="1"/>
      <protection hidden="1"/>
    </xf>
    <xf numFmtId="43" fontId="3" fillId="13" borderId="1" xfId="1" applyFont="1" applyFill="1" applyBorder="1" applyAlignment="1" applyProtection="1">
      <alignment horizontal="center" vertical="center"/>
      <protection hidden="1"/>
    </xf>
    <xf numFmtId="0" fontId="4" fillId="14" borderId="1" xfId="0" applyFont="1" applyFill="1" applyBorder="1" applyAlignment="1" applyProtection="1">
      <alignment horizontal="left" vertical="center" wrapText="1"/>
      <protection hidden="1"/>
    </xf>
  </cellXfs>
  <cellStyles count="3">
    <cellStyle name="Comma" xfId="1" builtinId="3"/>
    <cellStyle name="Normal" xfId="0" builtinId="0"/>
    <cellStyle name="Percent" xfId="2" builtinId="5"/>
  </cellStyles>
  <dxfs count="430"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00"/>
  <sheetViews>
    <sheetView zoomScale="85" zoomScaleNormal="85" workbookViewId="0">
      <selection activeCell="F4" sqref="F4"/>
    </sheetView>
  </sheetViews>
  <sheetFormatPr defaultRowHeight="14.5" x14ac:dyDescent="0.35"/>
  <cols>
    <col min="3" max="3" width="48.81640625" customWidth="1"/>
    <col min="4" max="4" width="16.453125" style="1" customWidth="1"/>
    <col min="5" max="8" width="16.453125" customWidth="1"/>
    <col min="9" max="10" width="16.54296875" customWidth="1"/>
  </cols>
  <sheetData>
    <row r="2" spans="2:4" x14ac:dyDescent="0.35">
      <c r="B2" s="340" t="s">
        <v>31</v>
      </c>
      <c r="C2" s="340"/>
      <c r="D2" s="340"/>
    </row>
    <row r="3" spans="2:4" x14ac:dyDescent="0.35">
      <c r="B3" s="337" t="s">
        <v>32</v>
      </c>
      <c r="C3" s="2" t="s">
        <v>33</v>
      </c>
      <c r="D3" s="269"/>
    </row>
    <row r="4" spans="2:4" x14ac:dyDescent="0.35">
      <c r="B4" s="338"/>
      <c r="C4" s="2" t="s">
        <v>34</v>
      </c>
      <c r="D4" s="269"/>
    </row>
    <row r="5" spans="2:4" x14ac:dyDescent="0.35">
      <c r="B5" s="338"/>
      <c r="C5" s="2" t="s">
        <v>35</v>
      </c>
      <c r="D5" s="269"/>
    </row>
    <row r="6" spans="2:4" x14ac:dyDescent="0.35">
      <c r="B6" s="339"/>
      <c r="C6" s="2" t="s">
        <v>2</v>
      </c>
      <c r="D6" s="269"/>
    </row>
    <row r="7" spans="2:4" x14ac:dyDescent="0.35">
      <c r="B7" s="3" t="s">
        <v>0</v>
      </c>
      <c r="C7" s="3" t="s">
        <v>1</v>
      </c>
      <c r="D7" s="3" t="s">
        <v>2</v>
      </c>
    </row>
    <row r="8" spans="2:4" ht="29" x14ac:dyDescent="0.35">
      <c r="B8" s="336" t="s">
        <v>3</v>
      </c>
      <c r="C8" s="4" t="s">
        <v>4</v>
      </c>
      <c r="D8" s="9"/>
    </row>
    <row r="9" spans="2:4" ht="29" x14ac:dyDescent="0.35">
      <c r="B9" s="336"/>
      <c r="C9" s="6" t="s">
        <v>5</v>
      </c>
      <c r="D9" s="10">
        <f>SUM(D10,D13,D16,D19)</f>
        <v>0</v>
      </c>
    </row>
    <row r="10" spans="2:4" x14ac:dyDescent="0.35">
      <c r="B10" s="336"/>
      <c r="C10" s="7" t="s">
        <v>6</v>
      </c>
      <c r="D10" s="10">
        <f>D11+(D12/2)</f>
        <v>0</v>
      </c>
    </row>
    <row r="11" spans="2:4" x14ac:dyDescent="0.35">
      <c r="B11" s="336"/>
      <c r="C11" s="7" t="s">
        <v>36</v>
      </c>
      <c r="D11" s="11"/>
    </row>
    <row r="12" spans="2:4" x14ac:dyDescent="0.35">
      <c r="B12" s="336"/>
      <c r="C12" s="7" t="s">
        <v>7</v>
      </c>
      <c r="D12" s="11"/>
    </row>
    <row r="13" spans="2:4" x14ac:dyDescent="0.35">
      <c r="B13" s="336"/>
      <c r="C13" s="7" t="s">
        <v>8</v>
      </c>
      <c r="D13" s="10">
        <f>D14+(D15/2)</f>
        <v>0</v>
      </c>
    </row>
    <row r="14" spans="2:4" x14ac:dyDescent="0.35">
      <c r="B14" s="336"/>
      <c r="C14" s="7" t="s">
        <v>36</v>
      </c>
      <c r="D14" s="11"/>
    </row>
    <row r="15" spans="2:4" x14ac:dyDescent="0.35">
      <c r="B15" s="336"/>
      <c r="C15" s="7" t="s">
        <v>7</v>
      </c>
      <c r="D15" s="11"/>
    </row>
    <row r="16" spans="2:4" x14ac:dyDescent="0.35">
      <c r="B16" s="336"/>
      <c r="C16" s="7" t="s">
        <v>9</v>
      </c>
      <c r="D16" s="10">
        <f>D17+(D18/2)</f>
        <v>0</v>
      </c>
    </row>
    <row r="17" spans="2:4" x14ac:dyDescent="0.35">
      <c r="B17" s="336"/>
      <c r="C17" s="7" t="s">
        <v>36</v>
      </c>
      <c r="D17" s="11"/>
    </row>
    <row r="18" spans="2:4" x14ac:dyDescent="0.35">
      <c r="B18" s="336"/>
      <c r="C18" s="7" t="s">
        <v>7</v>
      </c>
      <c r="D18" s="11"/>
    </row>
    <row r="19" spans="2:4" x14ac:dyDescent="0.35">
      <c r="B19" s="336"/>
      <c r="C19" s="7" t="s">
        <v>10</v>
      </c>
      <c r="D19" s="10">
        <f>D20+(D21/2)</f>
        <v>0</v>
      </c>
    </row>
    <row r="20" spans="2:4" x14ac:dyDescent="0.35">
      <c r="B20" s="336"/>
      <c r="C20" s="7" t="s">
        <v>36</v>
      </c>
      <c r="D20" s="11"/>
    </row>
    <row r="21" spans="2:4" x14ac:dyDescent="0.35">
      <c r="B21" s="336"/>
      <c r="C21" s="7" t="s">
        <v>7</v>
      </c>
      <c r="D21" s="11"/>
    </row>
    <row r="22" spans="2:4" x14ac:dyDescent="0.35">
      <c r="B22" s="336"/>
      <c r="C22" s="8"/>
      <c r="D22" s="12"/>
    </row>
    <row r="23" spans="2:4" x14ac:dyDescent="0.35">
      <c r="B23" s="336"/>
      <c r="C23" s="6" t="s">
        <v>11</v>
      </c>
      <c r="D23" s="10">
        <f>SUM(D24,D27,D30,D33)</f>
        <v>0</v>
      </c>
    </row>
    <row r="24" spans="2:4" x14ac:dyDescent="0.35">
      <c r="B24" s="336"/>
      <c r="C24" s="7" t="s">
        <v>6</v>
      </c>
      <c r="D24" s="10">
        <f>D25+(D26/2)</f>
        <v>0</v>
      </c>
    </row>
    <row r="25" spans="2:4" x14ac:dyDescent="0.35">
      <c r="B25" s="336"/>
      <c r="C25" s="7" t="s">
        <v>36</v>
      </c>
      <c r="D25" s="11"/>
    </row>
    <row r="26" spans="2:4" x14ac:dyDescent="0.35">
      <c r="B26" s="336"/>
      <c r="C26" s="7" t="s">
        <v>7</v>
      </c>
      <c r="D26" s="11"/>
    </row>
    <row r="27" spans="2:4" x14ac:dyDescent="0.35">
      <c r="B27" s="336"/>
      <c r="C27" s="7" t="s">
        <v>8</v>
      </c>
      <c r="D27" s="10">
        <f>D28+(D29/2)</f>
        <v>0</v>
      </c>
    </row>
    <row r="28" spans="2:4" x14ac:dyDescent="0.35">
      <c r="B28" s="336"/>
      <c r="C28" s="7" t="s">
        <v>36</v>
      </c>
      <c r="D28" s="11"/>
    </row>
    <row r="29" spans="2:4" x14ac:dyDescent="0.35">
      <c r="B29" s="336"/>
      <c r="C29" s="7" t="s">
        <v>7</v>
      </c>
      <c r="D29" s="11"/>
    </row>
    <row r="30" spans="2:4" x14ac:dyDescent="0.35">
      <c r="B30" s="336"/>
      <c r="C30" s="7" t="s">
        <v>9</v>
      </c>
      <c r="D30" s="10">
        <f>D31+(D32/2)</f>
        <v>0</v>
      </c>
    </row>
    <row r="31" spans="2:4" x14ac:dyDescent="0.35">
      <c r="B31" s="336"/>
      <c r="C31" s="7" t="s">
        <v>36</v>
      </c>
      <c r="D31" s="11"/>
    </row>
    <row r="32" spans="2:4" x14ac:dyDescent="0.35">
      <c r="B32" s="336"/>
      <c r="C32" s="7" t="s">
        <v>7</v>
      </c>
      <c r="D32" s="11"/>
    </row>
    <row r="33" spans="2:4" x14ac:dyDescent="0.35">
      <c r="B33" s="336"/>
      <c r="C33" s="7" t="s">
        <v>12</v>
      </c>
      <c r="D33" s="10">
        <f>D34+(D35/2)</f>
        <v>0</v>
      </c>
    </row>
    <row r="34" spans="2:4" x14ac:dyDescent="0.35">
      <c r="B34" s="336"/>
      <c r="C34" s="7" t="s">
        <v>36</v>
      </c>
      <c r="D34" s="11"/>
    </row>
    <row r="35" spans="2:4" x14ac:dyDescent="0.35">
      <c r="B35" s="336"/>
      <c r="C35" s="7" t="s">
        <v>7</v>
      </c>
      <c r="D35" s="11"/>
    </row>
    <row r="36" spans="2:4" x14ac:dyDescent="0.35">
      <c r="B36" s="336"/>
      <c r="C36" s="8"/>
      <c r="D36" s="12"/>
    </row>
    <row r="37" spans="2:4" x14ac:dyDescent="0.35">
      <c r="B37" s="336"/>
      <c r="C37" s="5" t="s">
        <v>13</v>
      </c>
      <c r="D37" s="10">
        <f>D38+(D39/2)</f>
        <v>0</v>
      </c>
    </row>
    <row r="38" spans="2:4" x14ac:dyDescent="0.35">
      <c r="B38" s="336"/>
      <c r="C38" s="7" t="s">
        <v>36</v>
      </c>
      <c r="D38" s="11"/>
    </row>
    <row r="39" spans="2:4" x14ac:dyDescent="0.35">
      <c r="B39" s="336"/>
      <c r="C39" s="7" t="s">
        <v>7</v>
      </c>
      <c r="D39" s="11"/>
    </row>
    <row r="40" spans="2:4" x14ac:dyDescent="0.35">
      <c r="B40" s="336"/>
      <c r="C40" s="5" t="s">
        <v>14</v>
      </c>
      <c r="D40" s="10">
        <f>D23-D37</f>
        <v>0</v>
      </c>
    </row>
    <row r="41" spans="2:4" x14ac:dyDescent="0.35">
      <c r="B41" s="336"/>
      <c r="C41" s="5" t="s">
        <v>15</v>
      </c>
      <c r="D41" s="13" t="e">
        <f>(D37/D23)*100</f>
        <v>#DIV/0!</v>
      </c>
    </row>
    <row r="42" spans="2:4" x14ac:dyDescent="0.35">
      <c r="B42" s="336"/>
      <c r="C42" s="8"/>
      <c r="D42" s="12"/>
    </row>
    <row r="43" spans="2:4" x14ac:dyDescent="0.35">
      <c r="B43" s="336"/>
      <c r="C43" s="5" t="s">
        <v>16</v>
      </c>
      <c r="D43" s="10">
        <f>D44+(D45/2)</f>
        <v>0</v>
      </c>
    </row>
    <row r="44" spans="2:4" x14ac:dyDescent="0.35">
      <c r="B44" s="336"/>
      <c r="C44" s="7" t="s">
        <v>36</v>
      </c>
      <c r="D44" s="11"/>
    </row>
    <row r="45" spans="2:4" x14ac:dyDescent="0.35">
      <c r="B45" s="336"/>
      <c r="C45" s="7" t="s">
        <v>7</v>
      </c>
      <c r="D45" s="11"/>
    </row>
    <row r="46" spans="2:4" x14ac:dyDescent="0.35">
      <c r="B46" s="336"/>
      <c r="C46" s="8"/>
      <c r="D46" s="12"/>
    </row>
    <row r="47" spans="2:4" ht="29" x14ac:dyDescent="0.35">
      <c r="B47" s="336" t="s">
        <v>17</v>
      </c>
      <c r="C47" s="4" t="s">
        <v>18</v>
      </c>
      <c r="D47" s="10">
        <f>D48+D52</f>
        <v>0</v>
      </c>
    </row>
    <row r="48" spans="2:4" x14ac:dyDescent="0.35">
      <c r="B48" s="336"/>
      <c r="C48" s="5" t="s">
        <v>19</v>
      </c>
      <c r="D48" s="10">
        <f>SUM(D49:D50)</f>
        <v>0</v>
      </c>
    </row>
    <row r="49" spans="2:4" x14ac:dyDescent="0.35">
      <c r="B49" s="336"/>
      <c r="C49" s="7" t="s">
        <v>20</v>
      </c>
      <c r="D49" s="11"/>
    </row>
    <row r="50" spans="2:4" x14ac:dyDescent="0.35">
      <c r="B50" s="336"/>
      <c r="C50" s="7" t="s">
        <v>21</v>
      </c>
      <c r="D50" s="11"/>
    </row>
    <row r="51" spans="2:4" x14ac:dyDescent="0.35">
      <c r="B51" s="336"/>
      <c r="C51" s="8"/>
      <c r="D51" s="12"/>
    </row>
    <row r="52" spans="2:4" x14ac:dyDescent="0.35">
      <c r="B52" s="336"/>
      <c r="C52" s="6" t="s">
        <v>22</v>
      </c>
      <c r="D52" s="10">
        <f>D56+D57+D53+D83+D87</f>
        <v>0</v>
      </c>
    </row>
    <row r="53" spans="2:4" x14ac:dyDescent="0.35">
      <c r="B53" s="336"/>
      <c r="C53" s="7" t="s">
        <v>37</v>
      </c>
      <c r="D53" s="10">
        <f>D75+D79</f>
        <v>0</v>
      </c>
    </row>
    <row r="54" spans="2:4" x14ac:dyDescent="0.35">
      <c r="B54" s="336"/>
      <c r="C54" s="7" t="s">
        <v>38</v>
      </c>
      <c r="D54" s="10">
        <f>D59+D63+D75+D79</f>
        <v>0</v>
      </c>
    </row>
    <row r="55" spans="2:4" x14ac:dyDescent="0.35">
      <c r="B55" s="336"/>
      <c r="C55" s="7" t="s">
        <v>39</v>
      </c>
      <c r="D55" s="10">
        <f>D63+D71+D79+D87</f>
        <v>0</v>
      </c>
    </row>
    <row r="56" spans="2:4" x14ac:dyDescent="0.35">
      <c r="B56" s="336"/>
      <c r="C56" s="7" t="s">
        <v>40</v>
      </c>
      <c r="D56" s="10">
        <f>D59+D67</f>
        <v>0</v>
      </c>
    </row>
    <row r="57" spans="2:4" x14ac:dyDescent="0.35">
      <c r="B57" s="336"/>
      <c r="C57" s="7" t="s">
        <v>41</v>
      </c>
      <c r="D57" s="10">
        <f>D63+D71</f>
        <v>0</v>
      </c>
    </row>
    <row r="58" spans="2:4" x14ac:dyDescent="0.35">
      <c r="B58" s="336"/>
      <c r="C58" s="8"/>
      <c r="D58" s="12"/>
    </row>
    <row r="59" spans="2:4" x14ac:dyDescent="0.35">
      <c r="B59" s="336"/>
      <c r="C59" s="5" t="s">
        <v>23</v>
      </c>
      <c r="D59" s="10">
        <f>D60+(D61/2)</f>
        <v>0</v>
      </c>
    </row>
    <row r="60" spans="2:4" x14ac:dyDescent="0.35">
      <c r="B60" s="336"/>
      <c r="C60" s="7" t="s">
        <v>36</v>
      </c>
      <c r="D60" s="11"/>
    </row>
    <row r="61" spans="2:4" x14ac:dyDescent="0.35">
      <c r="B61" s="336"/>
      <c r="C61" s="7" t="s">
        <v>42</v>
      </c>
      <c r="D61" s="11"/>
    </row>
    <row r="62" spans="2:4" x14ac:dyDescent="0.35">
      <c r="B62" s="336"/>
      <c r="C62" s="8"/>
      <c r="D62" s="12"/>
    </row>
    <row r="63" spans="2:4" x14ac:dyDescent="0.35">
      <c r="B63" s="336"/>
      <c r="C63" s="5" t="s">
        <v>24</v>
      </c>
      <c r="D63" s="10">
        <f>D64+(D65/2)</f>
        <v>0</v>
      </c>
    </row>
    <row r="64" spans="2:4" x14ac:dyDescent="0.35">
      <c r="B64" s="336"/>
      <c r="C64" s="7" t="s">
        <v>36</v>
      </c>
      <c r="D64" s="11"/>
    </row>
    <row r="65" spans="2:4" x14ac:dyDescent="0.35">
      <c r="B65" s="336"/>
      <c r="C65" s="7" t="s">
        <v>42</v>
      </c>
      <c r="D65" s="11"/>
    </row>
    <row r="66" spans="2:4" x14ac:dyDescent="0.35">
      <c r="B66" s="336"/>
      <c r="C66" s="8"/>
      <c r="D66" s="12"/>
    </row>
    <row r="67" spans="2:4" x14ac:dyDescent="0.35">
      <c r="B67" s="336"/>
      <c r="C67" s="5" t="s">
        <v>25</v>
      </c>
      <c r="D67" s="10">
        <f>D68+(D69/2)</f>
        <v>0</v>
      </c>
    </row>
    <row r="68" spans="2:4" x14ac:dyDescent="0.35">
      <c r="B68" s="336"/>
      <c r="C68" s="7" t="s">
        <v>36</v>
      </c>
      <c r="D68" s="11"/>
    </row>
    <row r="69" spans="2:4" x14ac:dyDescent="0.35">
      <c r="B69" s="336"/>
      <c r="C69" s="7" t="s">
        <v>42</v>
      </c>
      <c r="D69" s="11"/>
    </row>
    <row r="70" spans="2:4" x14ac:dyDescent="0.35">
      <c r="B70" s="336"/>
      <c r="C70" s="8"/>
      <c r="D70" s="12"/>
    </row>
    <row r="71" spans="2:4" x14ac:dyDescent="0.35">
      <c r="B71" s="336"/>
      <c r="C71" s="5" t="s">
        <v>26</v>
      </c>
      <c r="D71" s="10">
        <f>D72+(D73/2)</f>
        <v>0</v>
      </c>
    </row>
    <row r="72" spans="2:4" x14ac:dyDescent="0.35">
      <c r="B72" s="336"/>
      <c r="C72" s="7" t="s">
        <v>36</v>
      </c>
      <c r="D72" s="11"/>
    </row>
    <row r="73" spans="2:4" x14ac:dyDescent="0.35">
      <c r="B73" s="336"/>
      <c r="C73" s="7" t="s">
        <v>42</v>
      </c>
      <c r="D73" s="11"/>
    </row>
    <row r="74" spans="2:4" x14ac:dyDescent="0.35">
      <c r="B74" s="336"/>
      <c r="C74" s="8"/>
      <c r="D74" s="12"/>
    </row>
    <row r="75" spans="2:4" x14ac:dyDescent="0.35">
      <c r="B75" s="336"/>
      <c r="C75" s="5" t="s">
        <v>27</v>
      </c>
      <c r="D75" s="10">
        <f>D76+(D77/2)</f>
        <v>0</v>
      </c>
    </row>
    <row r="76" spans="2:4" x14ac:dyDescent="0.35">
      <c r="B76" s="336"/>
      <c r="C76" s="7" t="s">
        <v>36</v>
      </c>
      <c r="D76" s="11"/>
    </row>
    <row r="77" spans="2:4" x14ac:dyDescent="0.35">
      <c r="B77" s="336"/>
      <c r="C77" s="7" t="s">
        <v>42</v>
      </c>
      <c r="D77" s="11"/>
    </row>
    <row r="78" spans="2:4" x14ac:dyDescent="0.35">
      <c r="B78" s="336"/>
      <c r="C78" s="8"/>
      <c r="D78" s="12"/>
    </row>
    <row r="79" spans="2:4" x14ac:dyDescent="0.35">
      <c r="B79" s="336"/>
      <c r="C79" s="5" t="s">
        <v>28</v>
      </c>
      <c r="D79" s="10">
        <f>D80+(D81/2)</f>
        <v>0</v>
      </c>
    </row>
    <row r="80" spans="2:4" x14ac:dyDescent="0.35">
      <c r="B80" s="336"/>
      <c r="C80" s="7" t="s">
        <v>36</v>
      </c>
      <c r="D80" s="11"/>
    </row>
    <row r="81" spans="2:10" x14ac:dyDescent="0.35">
      <c r="B81" s="336"/>
      <c r="C81" s="7" t="s">
        <v>42</v>
      </c>
      <c r="D81" s="11"/>
    </row>
    <row r="82" spans="2:10" x14ac:dyDescent="0.35">
      <c r="B82" s="336"/>
      <c r="C82" s="8"/>
      <c r="D82" s="12"/>
    </row>
    <row r="83" spans="2:10" x14ac:dyDescent="0.35">
      <c r="B83" s="336"/>
      <c r="C83" s="5" t="s">
        <v>29</v>
      </c>
      <c r="D83" s="10">
        <f>D84+(D85/2)</f>
        <v>0</v>
      </c>
    </row>
    <row r="84" spans="2:10" x14ac:dyDescent="0.35">
      <c r="B84" s="336"/>
      <c r="C84" s="7" t="s">
        <v>36</v>
      </c>
      <c r="D84" s="11"/>
    </row>
    <row r="85" spans="2:10" x14ac:dyDescent="0.35">
      <c r="B85" s="336"/>
      <c r="C85" s="7" t="s">
        <v>42</v>
      </c>
      <c r="D85" s="11"/>
    </row>
    <row r="86" spans="2:10" x14ac:dyDescent="0.35">
      <c r="B86" s="336"/>
      <c r="C86" s="8"/>
      <c r="D86" s="12"/>
    </row>
    <row r="87" spans="2:10" x14ac:dyDescent="0.35">
      <c r="B87" s="336"/>
      <c r="C87" s="5" t="s">
        <v>30</v>
      </c>
      <c r="D87" s="10">
        <f>D88+(D89/2)</f>
        <v>0</v>
      </c>
    </row>
    <row r="88" spans="2:10" x14ac:dyDescent="0.35">
      <c r="B88" s="336"/>
      <c r="C88" s="7" t="s">
        <v>36</v>
      </c>
      <c r="D88" s="11"/>
    </row>
    <row r="89" spans="2:10" x14ac:dyDescent="0.35">
      <c r="B89" s="336"/>
      <c r="C89" s="7" t="s">
        <v>42</v>
      </c>
      <c r="D89" s="11"/>
    </row>
    <row r="91" spans="2:10" x14ac:dyDescent="0.35">
      <c r="D91" s="341" t="s">
        <v>70</v>
      </c>
      <c r="E91" s="342"/>
      <c r="F91" s="343"/>
      <c r="G91" s="335" t="s">
        <v>71</v>
      </c>
      <c r="H91" s="335"/>
      <c r="I91" s="335"/>
      <c r="J91" s="335"/>
    </row>
    <row r="92" spans="2:10" x14ac:dyDescent="0.35">
      <c r="B92" s="273" t="s">
        <v>43</v>
      </c>
      <c r="C92" s="94" t="s">
        <v>258</v>
      </c>
      <c r="D92" s="268" t="s">
        <v>259</v>
      </c>
      <c r="E92" s="94" t="s">
        <v>246</v>
      </c>
      <c r="F92" s="94" t="s">
        <v>226</v>
      </c>
      <c r="G92" s="268" t="s">
        <v>259</v>
      </c>
      <c r="H92" s="94" t="s">
        <v>246</v>
      </c>
      <c r="I92" s="94" t="s">
        <v>226</v>
      </c>
      <c r="J92" s="94" t="s">
        <v>268</v>
      </c>
    </row>
    <row r="93" spans="2:10" x14ac:dyDescent="0.35">
      <c r="B93" s="274">
        <v>1</v>
      </c>
      <c r="C93" s="262" t="s">
        <v>260</v>
      </c>
      <c r="D93" s="263">
        <f>Details!M23</f>
        <v>25</v>
      </c>
      <c r="E93" s="95" t="e">
        <f>Details!H23</f>
        <v>#DIV/0!</v>
      </c>
      <c r="F93" s="46" t="e">
        <f>Details!I23</f>
        <v>#DIV/0!</v>
      </c>
      <c r="G93" s="270">
        <f>Details!Y23</f>
        <v>15</v>
      </c>
      <c r="H93" s="272" t="e">
        <f>Details!K23</f>
        <v>#DIV/0!</v>
      </c>
      <c r="I93" s="46" t="e">
        <f>Details!L23</f>
        <v>#DIV/0!</v>
      </c>
      <c r="J93" s="46" t="e">
        <f>Details!AL23</f>
        <v>#DIV/0!</v>
      </c>
    </row>
    <row r="94" spans="2:10" x14ac:dyDescent="0.35">
      <c r="B94" s="274">
        <v>2</v>
      </c>
      <c r="C94" s="262" t="s">
        <v>261</v>
      </c>
      <c r="D94" s="263">
        <f>Details!M55</f>
        <v>30</v>
      </c>
      <c r="E94" s="95" t="e">
        <f>Details!H55</f>
        <v>#DIV/0!</v>
      </c>
      <c r="F94" s="46" t="e">
        <f>Details!I55</f>
        <v>#DIV/0!</v>
      </c>
      <c r="G94" s="270">
        <f>Details!Y55</f>
        <v>35</v>
      </c>
      <c r="H94" s="272" t="e">
        <f>Details!K55</f>
        <v>#DIV/0!</v>
      </c>
      <c r="I94" s="46" t="e">
        <f>Details!L55</f>
        <v>#DIV/0!</v>
      </c>
      <c r="J94" s="46" t="e">
        <f>Details!AL55</f>
        <v>#DIV/0!</v>
      </c>
    </row>
    <row r="95" spans="2:10" x14ac:dyDescent="0.35">
      <c r="B95" s="274">
        <v>3</v>
      </c>
      <c r="C95" s="264" t="s">
        <v>262</v>
      </c>
      <c r="D95" s="263">
        <f>Details!M80</f>
        <v>15</v>
      </c>
      <c r="E95" s="95" t="e">
        <f>Details!H80</f>
        <v>#DIV/0!</v>
      </c>
      <c r="F95" s="46" t="e">
        <f>Details!I80</f>
        <v>#DIV/0!</v>
      </c>
      <c r="G95" s="270">
        <f>Details!Y80</f>
        <v>10</v>
      </c>
      <c r="H95" s="272" t="e">
        <f>Details!K80</f>
        <v>#DIV/0!</v>
      </c>
      <c r="I95" s="46" t="e">
        <f>Details!L80</f>
        <v>#DIV/0!</v>
      </c>
      <c r="J95" s="46" t="e">
        <f>Details!AL80</f>
        <v>#DIV/0!</v>
      </c>
    </row>
    <row r="96" spans="2:10" x14ac:dyDescent="0.35">
      <c r="B96" s="274">
        <v>4</v>
      </c>
      <c r="C96" s="262" t="s">
        <v>263</v>
      </c>
      <c r="D96" s="263">
        <f>Details!M97</f>
        <v>10</v>
      </c>
      <c r="E96" s="95" t="e">
        <f>Details!H97</f>
        <v>#DIV/0!</v>
      </c>
      <c r="F96" s="46" t="e">
        <f>Details!I97</f>
        <v>#DIV/0!</v>
      </c>
      <c r="G96" s="270">
        <f>Details!Y97</f>
        <v>15</v>
      </c>
      <c r="H96" s="272" t="e">
        <f>Details!K97</f>
        <v>#DIV/0!</v>
      </c>
      <c r="I96" s="46" t="e">
        <f>Details!L97</f>
        <v>#DIV/0!</v>
      </c>
      <c r="J96" s="46" t="e">
        <f>Details!AL97</f>
        <v>#DIV/0!</v>
      </c>
    </row>
    <row r="97" spans="2:10" x14ac:dyDescent="0.35">
      <c r="B97" s="274">
        <v>5</v>
      </c>
      <c r="C97" s="262" t="s">
        <v>264</v>
      </c>
      <c r="D97" s="263">
        <f>Details!M113</f>
        <v>7</v>
      </c>
      <c r="E97" s="95" t="e">
        <f>Details!H113</f>
        <v>#DIV/0!</v>
      </c>
      <c r="F97" s="46" t="e">
        <f>Details!I113</f>
        <v>#DIV/0!</v>
      </c>
      <c r="G97" s="270">
        <f>Details!Y113</f>
        <v>10</v>
      </c>
      <c r="H97" s="272" t="e">
        <f>Details!K113</f>
        <v>#DIV/0!</v>
      </c>
      <c r="I97" s="46" t="e">
        <f>Details!L113</f>
        <v>#DIV/0!</v>
      </c>
      <c r="J97" s="46" t="e">
        <f>Details!AL113</f>
        <v>#DIV/0!</v>
      </c>
    </row>
    <row r="98" spans="2:10" x14ac:dyDescent="0.35">
      <c r="B98" s="274">
        <v>6</v>
      </c>
      <c r="C98" s="262" t="s">
        <v>265</v>
      </c>
      <c r="D98" s="263">
        <f>Details!M131</f>
        <v>10</v>
      </c>
      <c r="E98" s="95" t="e">
        <f>Details!H131</f>
        <v>#DIV/0!</v>
      </c>
      <c r="F98" s="46" t="e">
        <f>Details!I131</f>
        <v>#DIV/0!</v>
      </c>
      <c r="G98" s="270">
        <f>Details!Y131</f>
        <v>12</v>
      </c>
      <c r="H98" s="272" t="e">
        <f>Details!K131</f>
        <v>#DIV/0!</v>
      </c>
      <c r="I98" s="46" t="e">
        <f>Details!L131</f>
        <v>#DIV/0!</v>
      </c>
      <c r="J98" s="46" t="e">
        <f>Details!AL131</f>
        <v>#DIV/0!</v>
      </c>
    </row>
    <row r="99" spans="2:10" x14ac:dyDescent="0.35">
      <c r="B99" s="274">
        <v>7</v>
      </c>
      <c r="C99" s="262" t="s">
        <v>266</v>
      </c>
      <c r="D99" s="263">
        <f>Details!M139</f>
        <v>3</v>
      </c>
      <c r="E99" s="95">
        <f>Details!H139</f>
        <v>1</v>
      </c>
      <c r="F99" s="46">
        <f>Details!I139</f>
        <v>0.33333333333333331</v>
      </c>
      <c r="G99" s="271">
        <f>Details!Y139</f>
        <v>3</v>
      </c>
      <c r="H99" s="272">
        <f>Details!K139</f>
        <v>0</v>
      </c>
      <c r="I99" s="46">
        <f>Details!L139</f>
        <v>0</v>
      </c>
      <c r="J99" s="46">
        <f>Details!AL139</f>
        <v>0</v>
      </c>
    </row>
    <row r="100" spans="2:10" x14ac:dyDescent="0.35">
      <c r="C100" s="265" t="s">
        <v>267</v>
      </c>
      <c r="D100" s="266">
        <f>SUM(D93:D99)</f>
        <v>100</v>
      </c>
      <c r="E100" s="267" t="e">
        <f>SUM(E93:E99)</f>
        <v>#DIV/0!</v>
      </c>
      <c r="F100" s="46" t="e">
        <f>E100/D100</f>
        <v>#DIV/0!</v>
      </c>
      <c r="G100" s="266">
        <f>SUM(G93:G99)</f>
        <v>100</v>
      </c>
      <c r="H100" s="267" t="e">
        <f>SUM(H93:H99)</f>
        <v>#DIV/0!</v>
      </c>
      <c r="I100" s="46" t="e">
        <f>H100/G100</f>
        <v>#DIV/0!</v>
      </c>
      <c r="J100" s="46" t="e">
        <f>SUM(Details!AK139,Details!AK131,Details!AK113,Details!AK97,Details!AK80,Details!AK55,Details!AK23)/General!G100</f>
        <v>#DIV/0!</v>
      </c>
    </row>
  </sheetData>
  <sheetProtection algorithmName="SHA-512" hashValue="GLG+hGhk/kk+OF9sUow/jBGFOi1PzWGglxEIJlgFFqow5Ch6iqvXw6SLz0k4g7MfUYep70HhKSy5yoITdDJHJA==" saltValue="aTy9SNJ1Rz0dfppRW02GAQ==" spinCount="100000" sheet="1" objects="1" scenarios="1"/>
  <mergeCells count="6">
    <mergeCell ref="G91:J91"/>
    <mergeCell ref="B47:B89"/>
    <mergeCell ref="B8:B46"/>
    <mergeCell ref="B3:B6"/>
    <mergeCell ref="B2:D2"/>
    <mergeCell ref="D91:F91"/>
  </mergeCells>
  <conditionalFormatting sqref="F93:F100">
    <cfRule type="cellIs" dxfId="429" priority="13" operator="lessThan">
      <formula>0.5</formula>
    </cfRule>
    <cfRule type="cellIs" dxfId="428" priority="14" operator="between">
      <formula>0.5</formula>
      <formula>0.75</formula>
    </cfRule>
    <cfRule type="cellIs" dxfId="427" priority="15" operator="between">
      <formula>0.75</formula>
      <formula>1</formula>
    </cfRule>
    <cfRule type="cellIs" dxfId="426" priority="16" operator="greaterThan">
      <formula>1</formula>
    </cfRule>
  </conditionalFormatting>
  <conditionalFormatting sqref="I93:I100">
    <cfRule type="cellIs" dxfId="425" priority="9" operator="lessThan">
      <formula>0.5</formula>
    </cfRule>
    <cfRule type="cellIs" dxfId="424" priority="10" operator="between">
      <formula>0.5</formula>
      <formula>0.75</formula>
    </cfRule>
    <cfRule type="cellIs" dxfId="423" priority="11" operator="between">
      <formula>0.75</formula>
      <formula>1</formula>
    </cfRule>
    <cfRule type="cellIs" dxfId="422" priority="12" operator="greaterThan">
      <formula>1</formula>
    </cfRule>
  </conditionalFormatting>
  <conditionalFormatting sqref="J93:J99">
    <cfRule type="cellIs" dxfId="421" priority="5" operator="lessThan">
      <formula>0.5</formula>
    </cfRule>
    <cfRule type="cellIs" dxfId="420" priority="6" operator="between">
      <formula>0.5</formula>
      <formula>0.75</formula>
    </cfRule>
    <cfRule type="cellIs" dxfId="419" priority="7" operator="between">
      <formula>0.75</formula>
      <formula>1</formula>
    </cfRule>
    <cfRule type="cellIs" dxfId="418" priority="8" operator="greaterThan">
      <formula>1</formula>
    </cfRule>
  </conditionalFormatting>
  <conditionalFormatting sqref="J100">
    <cfRule type="cellIs" dxfId="417" priority="1" operator="lessThan">
      <formula>0.5</formula>
    </cfRule>
    <cfRule type="cellIs" dxfId="416" priority="2" operator="between">
      <formula>0.5</formula>
      <formula>0.75</formula>
    </cfRule>
    <cfRule type="cellIs" dxfId="415" priority="3" operator="between">
      <formula>0.75</formula>
      <formula>1</formula>
    </cfRule>
    <cfRule type="cellIs" dxfId="414" priority="4" operator="greater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N139"/>
  <sheetViews>
    <sheetView tabSelected="1" zoomScale="115" zoomScaleNormal="115" workbookViewId="0">
      <selection activeCell="C1" sqref="C1"/>
    </sheetView>
  </sheetViews>
  <sheetFormatPr defaultColWidth="9.1796875" defaultRowHeight="14.5" x14ac:dyDescent="0.35"/>
  <cols>
    <col min="1" max="1" width="9.1796875" style="312"/>
    <col min="2" max="2" width="33.54296875" style="312" customWidth="1"/>
    <col min="3" max="3" width="84.1796875" style="312" customWidth="1"/>
    <col min="4" max="5" width="11" style="312" customWidth="1"/>
    <col min="6" max="12" width="14.7265625" style="312" customWidth="1"/>
    <col min="13" max="17" width="12" style="312" hidden="1" customWidth="1"/>
    <col min="18" max="19" width="14" style="312" hidden="1" customWidth="1"/>
    <col min="20" max="20" width="13.7265625" style="312" hidden="1" customWidth="1"/>
    <col min="21" max="21" width="16" style="312" hidden="1" customWidth="1"/>
    <col min="22" max="22" width="16.54296875" style="312" hidden="1" customWidth="1"/>
    <col min="23" max="24" width="13.26953125" style="312" hidden="1" customWidth="1"/>
    <col min="25" max="25" width="9.1796875" style="312" hidden="1" customWidth="1"/>
    <col min="26" max="26" width="12" style="312" hidden="1" customWidth="1"/>
    <col min="27" max="27" width="13" style="312" hidden="1" customWidth="1"/>
    <col min="28" max="28" width="11.7265625" style="312" hidden="1" customWidth="1"/>
    <col min="29" max="29" width="16" style="312" hidden="1" customWidth="1"/>
    <col min="30" max="30" width="15.453125" style="312" hidden="1" customWidth="1"/>
    <col min="31" max="32" width="14.26953125" style="312" hidden="1" customWidth="1"/>
    <col min="33" max="33" width="12.54296875" style="312" hidden="1" customWidth="1"/>
    <col min="34" max="34" width="16.54296875" style="312" hidden="1" customWidth="1"/>
    <col min="35" max="38" width="14.81640625" style="312" hidden="1" customWidth="1"/>
    <col min="39" max="39" width="9.1796875" style="312" hidden="1" customWidth="1"/>
    <col min="40" max="40" width="13.7265625" style="312" hidden="1" customWidth="1"/>
    <col min="41" max="16384" width="9.1796875" style="312"/>
  </cols>
  <sheetData>
    <row r="2" spans="1:40" x14ac:dyDescent="0.35">
      <c r="C2" s="313" t="s">
        <v>77</v>
      </c>
      <c r="D2" s="314">
        <f>General!D23</f>
        <v>0</v>
      </c>
    </row>
    <row r="3" spans="1:40" x14ac:dyDescent="0.35">
      <c r="C3" s="313" t="s">
        <v>82</v>
      </c>
      <c r="D3" s="314">
        <f>General!D37</f>
        <v>0</v>
      </c>
    </row>
    <row r="4" spans="1:40" x14ac:dyDescent="0.35">
      <c r="C4" s="313" t="s">
        <v>83</v>
      </c>
      <c r="D4" s="314">
        <f>General!D40</f>
        <v>0</v>
      </c>
    </row>
    <row r="5" spans="1:40" x14ac:dyDescent="0.35">
      <c r="A5" s="468" t="s">
        <v>62</v>
      </c>
      <c r="B5" s="469"/>
      <c r="C5" s="469"/>
      <c r="D5" s="469"/>
      <c r="E5" s="469"/>
      <c r="F5" s="470"/>
      <c r="G5" s="341" t="s">
        <v>70</v>
      </c>
      <c r="H5" s="342"/>
      <c r="I5" s="343"/>
      <c r="J5" s="423" t="s">
        <v>71</v>
      </c>
      <c r="K5" s="424"/>
      <c r="L5" s="425"/>
      <c r="M5" s="417" t="s">
        <v>70</v>
      </c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335" t="s">
        <v>71</v>
      </c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</row>
    <row r="6" spans="1:40" ht="29" x14ac:dyDescent="0.35">
      <c r="A6" s="292" t="s">
        <v>43</v>
      </c>
      <c r="B6" s="292" t="s">
        <v>44</v>
      </c>
      <c r="C6" s="292" t="s">
        <v>45</v>
      </c>
      <c r="D6" s="23" t="s">
        <v>70</v>
      </c>
      <c r="E6" s="54" t="s">
        <v>71</v>
      </c>
      <c r="F6" s="41" t="s">
        <v>2</v>
      </c>
      <c r="G6" s="37" t="s">
        <v>76</v>
      </c>
      <c r="H6" s="3" t="s">
        <v>63</v>
      </c>
      <c r="I6" s="3" t="s">
        <v>223</v>
      </c>
      <c r="J6" s="189" t="s">
        <v>76</v>
      </c>
      <c r="K6" s="3" t="s">
        <v>63</v>
      </c>
      <c r="L6" s="3" t="s">
        <v>223</v>
      </c>
      <c r="M6" s="59" t="s">
        <v>63</v>
      </c>
      <c r="N6" s="59" t="s">
        <v>64</v>
      </c>
      <c r="O6" s="59" t="s">
        <v>73</v>
      </c>
      <c r="P6" s="106" t="s">
        <v>74</v>
      </c>
      <c r="Q6" s="106" t="s">
        <v>75</v>
      </c>
      <c r="R6" s="107" t="s">
        <v>76</v>
      </c>
      <c r="S6" s="108" t="s">
        <v>81</v>
      </c>
      <c r="T6" s="109" t="s">
        <v>2</v>
      </c>
      <c r="U6" s="108" t="s">
        <v>78</v>
      </c>
      <c r="V6" s="108" t="s">
        <v>79</v>
      </c>
      <c r="W6" s="155" t="s">
        <v>80</v>
      </c>
      <c r="X6" s="110"/>
      <c r="Y6" s="292" t="s">
        <v>63</v>
      </c>
      <c r="Z6" s="292" t="s">
        <v>64</v>
      </c>
      <c r="AA6" s="292" t="s">
        <v>73</v>
      </c>
      <c r="AB6" s="292" t="s">
        <v>227</v>
      </c>
      <c r="AC6" s="292" t="s">
        <v>218</v>
      </c>
      <c r="AD6" s="24" t="s">
        <v>74</v>
      </c>
      <c r="AE6" s="24" t="s">
        <v>245</v>
      </c>
      <c r="AF6" s="189" t="s">
        <v>76</v>
      </c>
      <c r="AG6" s="3" t="s">
        <v>81</v>
      </c>
      <c r="AH6" s="41" t="s">
        <v>2</v>
      </c>
      <c r="AI6" s="3" t="s">
        <v>246</v>
      </c>
      <c r="AJ6" s="3" t="s">
        <v>79</v>
      </c>
      <c r="AK6" s="190" t="s">
        <v>247</v>
      </c>
      <c r="AL6" s="191" t="s">
        <v>248</v>
      </c>
      <c r="AM6" s="191" t="s">
        <v>251</v>
      </c>
      <c r="AN6" s="258" t="s">
        <v>252</v>
      </c>
    </row>
    <row r="7" spans="1:40" ht="29" x14ac:dyDescent="0.35">
      <c r="A7" s="453">
        <v>1</v>
      </c>
      <c r="B7" s="477" t="s">
        <v>46</v>
      </c>
      <c r="C7" s="14" t="s">
        <v>47</v>
      </c>
      <c r="D7" s="315"/>
      <c r="E7" s="315"/>
      <c r="F7" s="42">
        <f>SUM(F8:F11)</f>
        <v>0</v>
      </c>
      <c r="G7" s="26"/>
      <c r="H7" s="43"/>
      <c r="I7" s="43"/>
      <c r="J7" s="26"/>
      <c r="K7" s="43"/>
      <c r="L7" s="120"/>
      <c r="M7" s="406">
        <v>7.5</v>
      </c>
      <c r="N7" s="467">
        <v>0.3</v>
      </c>
      <c r="O7" s="25">
        <f>SUM(O8:O11)</f>
        <v>1</v>
      </c>
      <c r="P7" s="26"/>
      <c r="Q7" s="27">
        <f>SUM(Q8:Q11)</f>
        <v>7.5</v>
      </c>
      <c r="R7" s="26"/>
      <c r="S7" s="48"/>
      <c r="T7" s="42">
        <f>SUM(T8:T11)</f>
        <v>0</v>
      </c>
      <c r="U7" s="43" t="e">
        <f>+U8+U9+U10+U11</f>
        <v>#DIV/0!</v>
      </c>
      <c r="V7" s="43"/>
      <c r="W7" s="110"/>
      <c r="X7" s="110"/>
      <c r="Y7" s="406">
        <v>4.5</v>
      </c>
      <c r="Z7" s="455">
        <v>0.3</v>
      </c>
      <c r="AA7" s="25">
        <f>SUM(AA8:AA11)</f>
        <v>1</v>
      </c>
      <c r="AB7" s="110"/>
      <c r="AC7" s="110"/>
      <c r="AD7" s="25">
        <f>SUM(AD8:AD11)</f>
        <v>0.8</v>
      </c>
      <c r="AE7" s="27">
        <f>SUM(AE8:AE11)</f>
        <v>4.5</v>
      </c>
      <c r="AF7" s="26"/>
      <c r="AG7" s="48"/>
      <c r="AH7" s="42">
        <f>SUM(AH8:AH11)</f>
        <v>0</v>
      </c>
      <c r="AI7" s="43" t="e">
        <f>AI8+AI9+AI10+AI11</f>
        <v>#DIV/0!</v>
      </c>
      <c r="AJ7" s="120" t="e">
        <f>AI7/AE7</f>
        <v>#DIV/0!</v>
      </c>
      <c r="AK7" s="192"/>
      <c r="AL7" s="120"/>
      <c r="AM7" s="120"/>
      <c r="AN7" s="120"/>
    </row>
    <row r="8" spans="1:40" x14ac:dyDescent="0.35">
      <c r="A8" s="453"/>
      <c r="B8" s="477"/>
      <c r="C8" s="15" t="s">
        <v>48</v>
      </c>
      <c r="D8" s="316" t="s">
        <v>72</v>
      </c>
      <c r="E8" s="316" t="s">
        <v>72</v>
      </c>
      <c r="F8" s="44"/>
      <c r="G8" s="38">
        <f>R8</f>
        <v>0</v>
      </c>
      <c r="H8" s="45" t="e">
        <f>U8</f>
        <v>#DIV/0!</v>
      </c>
      <c r="I8" s="46" t="e">
        <f>V8</f>
        <v>#DIV/0!</v>
      </c>
      <c r="J8" s="194">
        <f t="shared" ref="J8:J13" si="0">AF8</f>
        <v>0</v>
      </c>
      <c r="K8" s="45" t="e">
        <f t="shared" ref="K8:L13" si="1">AI8</f>
        <v>#DIV/0!</v>
      </c>
      <c r="L8" s="195" t="e">
        <f t="shared" si="1"/>
        <v>#DIV/0!</v>
      </c>
      <c r="M8" s="407"/>
      <c r="N8" s="467"/>
      <c r="O8" s="295">
        <v>0.3</v>
      </c>
      <c r="P8" s="305">
        <v>0.23</v>
      </c>
      <c r="Q8" s="28">
        <f>O8*M7</f>
        <v>2.25</v>
      </c>
      <c r="R8" s="38">
        <f>P8*D2</f>
        <v>0</v>
      </c>
      <c r="S8" s="55" t="e">
        <f t="shared" ref="S8:S13" si="2">Q8/R8</f>
        <v>#DIV/0!</v>
      </c>
      <c r="T8" s="317">
        <f t="shared" ref="T8:T13" si="3">F8</f>
        <v>0</v>
      </c>
      <c r="U8" s="45" t="e">
        <f t="shared" ref="U8:U13" si="4">IF(T8/R8*Q8&gt;Q8*2,Q8*2,T8/R8*Q8)</f>
        <v>#DIV/0!</v>
      </c>
      <c r="V8" s="46" t="e">
        <f t="shared" ref="V8:V13" si="5">U8/Q8</f>
        <v>#DIV/0!</v>
      </c>
      <c r="W8" s="110"/>
      <c r="X8" s="110"/>
      <c r="Y8" s="407"/>
      <c r="Z8" s="456"/>
      <c r="AA8" s="296">
        <v>0.15</v>
      </c>
      <c r="AB8" s="193"/>
      <c r="AC8" s="283" t="s">
        <v>249</v>
      </c>
      <c r="AD8" s="304">
        <v>0.15</v>
      </c>
      <c r="AE8" s="28">
        <f>AA8*Y7</f>
        <v>0.67499999999999993</v>
      </c>
      <c r="AF8" s="194">
        <f t="shared" ref="AF8:AF13" si="6">AD8*$D$2</f>
        <v>0</v>
      </c>
      <c r="AG8" s="55" t="e">
        <f t="shared" ref="AG8:AG13" si="7">AE8/AF8</f>
        <v>#DIV/0!</v>
      </c>
      <c r="AH8" s="317">
        <f t="shared" ref="AH8:AH13" si="8">F8</f>
        <v>0</v>
      </c>
      <c r="AI8" s="45" t="e">
        <f t="shared" ref="AI8:AI13" si="9">IF(AH8/AF8*AE8&gt;AE8*2,AE8*2,AH8/AF8*AE8)</f>
        <v>#DIV/0!</v>
      </c>
      <c r="AJ8" s="195" t="e">
        <f t="shared" ref="AJ8:AJ13" si="10">AI8/AE8</f>
        <v>#DIV/0!</v>
      </c>
      <c r="AK8" s="196" t="e">
        <f>(AH8/AF8*AE8)</f>
        <v>#DIV/0!</v>
      </c>
      <c r="AL8" s="195" t="e">
        <f>AK8/AE8</f>
        <v>#DIV/0!</v>
      </c>
      <c r="AM8" s="204">
        <f>2*AE8</f>
        <v>1.3499999999999999</v>
      </c>
      <c r="AN8" s="259"/>
    </row>
    <row r="9" spans="1:40" x14ac:dyDescent="0.35">
      <c r="A9" s="453"/>
      <c r="B9" s="477"/>
      <c r="C9" s="15" t="s">
        <v>49</v>
      </c>
      <c r="D9" s="316" t="s">
        <v>72</v>
      </c>
      <c r="E9" s="316" t="s">
        <v>72</v>
      </c>
      <c r="F9" s="44"/>
      <c r="G9" s="38">
        <f t="shared" ref="G9:G13" si="11">R9</f>
        <v>0</v>
      </c>
      <c r="H9" s="45" t="e">
        <f t="shared" ref="H9:H22" si="12">U9</f>
        <v>#DIV/0!</v>
      </c>
      <c r="I9" s="46" t="e">
        <f t="shared" ref="I9:I13" si="13">V9</f>
        <v>#DIV/0!</v>
      </c>
      <c r="J9" s="194">
        <f t="shared" si="0"/>
        <v>0</v>
      </c>
      <c r="K9" s="45" t="e">
        <f t="shared" si="1"/>
        <v>#DIV/0!</v>
      </c>
      <c r="L9" s="195" t="e">
        <f t="shared" si="1"/>
        <v>#DIV/0!</v>
      </c>
      <c r="M9" s="407"/>
      <c r="N9" s="467"/>
      <c r="O9" s="295">
        <v>0.24</v>
      </c>
      <c r="P9" s="305">
        <v>0.18</v>
      </c>
      <c r="Q9" s="28">
        <f>O9*M7</f>
        <v>1.7999999999999998</v>
      </c>
      <c r="R9" s="38">
        <f>P9*D2</f>
        <v>0</v>
      </c>
      <c r="S9" s="55" t="e">
        <f t="shared" si="2"/>
        <v>#DIV/0!</v>
      </c>
      <c r="T9" s="317">
        <f t="shared" si="3"/>
        <v>0</v>
      </c>
      <c r="U9" s="45" t="e">
        <f t="shared" si="4"/>
        <v>#DIV/0!</v>
      </c>
      <c r="V9" s="46" t="e">
        <f t="shared" si="5"/>
        <v>#DIV/0!</v>
      </c>
      <c r="W9" s="110"/>
      <c r="X9" s="110"/>
      <c r="Y9" s="407"/>
      <c r="Z9" s="456"/>
      <c r="AA9" s="296">
        <v>0.35</v>
      </c>
      <c r="AB9" s="193"/>
      <c r="AC9" s="283" t="s">
        <v>249</v>
      </c>
      <c r="AD9" s="304">
        <v>0.25</v>
      </c>
      <c r="AE9" s="28">
        <f>AA9*Y7</f>
        <v>1.575</v>
      </c>
      <c r="AF9" s="194">
        <f t="shared" si="6"/>
        <v>0</v>
      </c>
      <c r="AG9" s="55" t="e">
        <f t="shared" si="7"/>
        <v>#DIV/0!</v>
      </c>
      <c r="AH9" s="317">
        <f t="shared" si="8"/>
        <v>0</v>
      </c>
      <c r="AI9" s="45" t="e">
        <f>IF(AH9/AF9*AE9&gt;AE9*2,AE9*2,AH9/AF9*AE9)</f>
        <v>#DIV/0!</v>
      </c>
      <c r="AJ9" s="195" t="e">
        <f t="shared" si="10"/>
        <v>#DIV/0!</v>
      </c>
      <c r="AK9" s="196" t="e">
        <f>(AH9/AF9*AE9)</f>
        <v>#DIV/0!</v>
      </c>
      <c r="AL9" s="195" t="e">
        <f t="shared" ref="AL9:AL13" si="14">AK9/AE9</f>
        <v>#DIV/0!</v>
      </c>
      <c r="AM9" s="204">
        <f t="shared" ref="AM9:AM13" si="15">2*AE9</f>
        <v>3.15</v>
      </c>
      <c r="AN9" s="259"/>
    </row>
    <row r="10" spans="1:40" x14ac:dyDescent="0.35">
      <c r="A10" s="453"/>
      <c r="B10" s="477"/>
      <c r="C10" s="15" t="s">
        <v>50</v>
      </c>
      <c r="D10" s="316" t="s">
        <v>72</v>
      </c>
      <c r="E10" s="316" t="s">
        <v>72</v>
      </c>
      <c r="F10" s="44"/>
      <c r="G10" s="38">
        <f t="shared" si="11"/>
        <v>0</v>
      </c>
      <c r="H10" s="45" t="e">
        <f t="shared" si="12"/>
        <v>#DIV/0!</v>
      </c>
      <c r="I10" s="46" t="e">
        <f t="shared" si="13"/>
        <v>#DIV/0!</v>
      </c>
      <c r="J10" s="194">
        <f t="shared" si="0"/>
        <v>0</v>
      </c>
      <c r="K10" s="45" t="e">
        <f t="shared" si="1"/>
        <v>#DIV/0!</v>
      </c>
      <c r="L10" s="195" t="e">
        <f t="shared" si="1"/>
        <v>#DIV/0!</v>
      </c>
      <c r="M10" s="407"/>
      <c r="N10" s="467"/>
      <c r="O10" s="295">
        <v>0.16</v>
      </c>
      <c r="P10" s="305">
        <v>0.12</v>
      </c>
      <c r="Q10" s="28">
        <f>O10*M7</f>
        <v>1.2</v>
      </c>
      <c r="R10" s="38">
        <f>P10*D2</f>
        <v>0</v>
      </c>
      <c r="S10" s="55" t="e">
        <f t="shared" si="2"/>
        <v>#DIV/0!</v>
      </c>
      <c r="T10" s="317">
        <f t="shared" si="3"/>
        <v>0</v>
      </c>
      <c r="U10" s="45" t="e">
        <f t="shared" si="4"/>
        <v>#DIV/0!</v>
      </c>
      <c r="V10" s="46" t="e">
        <f t="shared" si="5"/>
        <v>#DIV/0!</v>
      </c>
      <c r="W10" s="111"/>
      <c r="X10" s="110"/>
      <c r="Y10" s="407"/>
      <c r="Z10" s="456"/>
      <c r="AA10" s="296">
        <v>0.2</v>
      </c>
      <c r="AB10" s="193"/>
      <c r="AC10" s="283" t="s">
        <v>249</v>
      </c>
      <c r="AD10" s="304">
        <v>0.2</v>
      </c>
      <c r="AE10" s="28">
        <f>AA10*Y7</f>
        <v>0.9</v>
      </c>
      <c r="AF10" s="194">
        <f t="shared" si="6"/>
        <v>0</v>
      </c>
      <c r="AG10" s="55" t="e">
        <f t="shared" si="7"/>
        <v>#DIV/0!</v>
      </c>
      <c r="AH10" s="317">
        <f t="shared" si="8"/>
        <v>0</v>
      </c>
      <c r="AI10" s="45" t="e">
        <f t="shared" si="9"/>
        <v>#DIV/0!</v>
      </c>
      <c r="AJ10" s="195" t="e">
        <f t="shared" si="10"/>
        <v>#DIV/0!</v>
      </c>
      <c r="AK10" s="196" t="e">
        <f>AH10/AF10*AE10</f>
        <v>#DIV/0!</v>
      </c>
      <c r="AL10" s="195" t="e">
        <f t="shared" si="14"/>
        <v>#DIV/0!</v>
      </c>
      <c r="AM10" s="204">
        <f t="shared" si="15"/>
        <v>1.8</v>
      </c>
      <c r="AN10" s="259"/>
    </row>
    <row r="11" spans="1:40" x14ac:dyDescent="0.35">
      <c r="A11" s="453"/>
      <c r="B11" s="477"/>
      <c r="C11" s="15" t="s">
        <v>51</v>
      </c>
      <c r="D11" s="316" t="s">
        <v>72</v>
      </c>
      <c r="E11" s="316" t="s">
        <v>72</v>
      </c>
      <c r="F11" s="44"/>
      <c r="G11" s="38">
        <f t="shared" si="11"/>
        <v>0</v>
      </c>
      <c r="H11" s="45" t="e">
        <f t="shared" si="12"/>
        <v>#DIV/0!</v>
      </c>
      <c r="I11" s="46" t="e">
        <f t="shared" si="13"/>
        <v>#DIV/0!</v>
      </c>
      <c r="J11" s="194">
        <f t="shared" si="0"/>
        <v>0</v>
      </c>
      <c r="K11" s="45" t="e">
        <f t="shared" si="1"/>
        <v>#DIV/0!</v>
      </c>
      <c r="L11" s="195" t="e">
        <f t="shared" si="1"/>
        <v>#DIV/0!</v>
      </c>
      <c r="M11" s="454"/>
      <c r="N11" s="467"/>
      <c r="O11" s="295">
        <v>0.3</v>
      </c>
      <c r="P11" s="305">
        <v>0.12</v>
      </c>
      <c r="Q11" s="28">
        <f>O11*M7</f>
        <v>2.25</v>
      </c>
      <c r="R11" s="38">
        <f>P11*D2</f>
        <v>0</v>
      </c>
      <c r="S11" s="55" t="e">
        <f t="shared" si="2"/>
        <v>#DIV/0!</v>
      </c>
      <c r="T11" s="317">
        <f t="shared" si="3"/>
        <v>0</v>
      </c>
      <c r="U11" s="45" t="e">
        <f t="shared" si="4"/>
        <v>#DIV/0!</v>
      </c>
      <c r="V11" s="46" t="e">
        <f t="shared" si="5"/>
        <v>#DIV/0!</v>
      </c>
      <c r="W11" s="110"/>
      <c r="X11" s="110"/>
      <c r="Y11" s="454"/>
      <c r="Z11" s="457"/>
      <c r="AA11" s="296">
        <v>0.3</v>
      </c>
      <c r="AB11" s="193"/>
      <c r="AC11" s="283" t="s">
        <v>249</v>
      </c>
      <c r="AD11" s="304">
        <v>0.2</v>
      </c>
      <c r="AE11" s="28">
        <f>AA11*Y7</f>
        <v>1.3499999999999999</v>
      </c>
      <c r="AF11" s="194">
        <f t="shared" si="6"/>
        <v>0</v>
      </c>
      <c r="AG11" s="55" t="e">
        <f t="shared" si="7"/>
        <v>#DIV/0!</v>
      </c>
      <c r="AH11" s="317">
        <f t="shared" si="8"/>
        <v>0</v>
      </c>
      <c r="AI11" s="45" t="e">
        <f t="shared" si="9"/>
        <v>#DIV/0!</v>
      </c>
      <c r="AJ11" s="195" t="e">
        <f t="shared" si="10"/>
        <v>#DIV/0!</v>
      </c>
      <c r="AK11" s="196" t="e">
        <f>AH11/AF11*AE11</f>
        <v>#DIV/0!</v>
      </c>
      <c r="AL11" s="195" t="e">
        <f t="shared" si="14"/>
        <v>#DIV/0!</v>
      </c>
      <c r="AM11" s="204">
        <f t="shared" si="15"/>
        <v>2.6999999999999997</v>
      </c>
      <c r="AN11" s="259"/>
    </row>
    <row r="12" spans="1:40" x14ac:dyDescent="0.35">
      <c r="A12" s="453">
        <v>2</v>
      </c>
      <c r="B12" s="477" t="s">
        <v>52</v>
      </c>
      <c r="C12" s="16" t="s">
        <v>53</v>
      </c>
      <c r="D12" s="316" t="s">
        <v>72</v>
      </c>
      <c r="E12" s="316" t="s">
        <v>72</v>
      </c>
      <c r="F12" s="47"/>
      <c r="G12" s="38">
        <f t="shared" si="11"/>
        <v>0</v>
      </c>
      <c r="H12" s="45" t="e">
        <f t="shared" si="12"/>
        <v>#DIV/0!</v>
      </c>
      <c r="I12" s="46" t="e">
        <f t="shared" si="13"/>
        <v>#DIV/0!</v>
      </c>
      <c r="J12" s="194">
        <f t="shared" si="0"/>
        <v>0</v>
      </c>
      <c r="K12" s="45" t="e">
        <f t="shared" si="1"/>
        <v>#DIV/0!</v>
      </c>
      <c r="L12" s="195" t="e">
        <f t="shared" si="1"/>
        <v>#DIV/0!</v>
      </c>
      <c r="M12" s="406">
        <v>5</v>
      </c>
      <c r="N12" s="467">
        <v>0.2</v>
      </c>
      <c r="O12" s="29">
        <v>0.8</v>
      </c>
      <c r="P12" s="278">
        <v>0.6</v>
      </c>
      <c r="Q12" s="30">
        <f>O12*M12</f>
        <v>4</v>
      </c>
      <c r="R12" s="99">
        <f>P12*D2</f>
        <v>0</v>
      </c>
      <c r="S12" s="56" t="e">
        <f t="shared" si="2"/>
        <v>#DIV/0!</v>
      </c>
      <c r="T12" s="317">
        <f t="shared" si="3"/>
        <v>0</v>
      </c>
      <c r="U12" s="277" t="e">
        <f t="shared" si="4"/>
        <v>#DIV/0!</v>
      </c>
      <c r="V12" s="46" t="e">
        <f t="shared" si="5"/>
        <v>#DIV/0!</v>
      </c>
      <c r="W12" s="110"/>
      <c r="X12" s="110"/>
      <c r="Y12" s="406">
        <v>1.5</v>
      </c>
      <c r="Z12" s="455">
        <v>0.1</v>
      </c>
      <c r="AA12" s="296">
        <v>0.8</v>
      </c>
      <c r="AB12" s="193"/>
      <c r="AC12" s="283" t="s">
        <v>249</v>
      </c>
      <c r="AD12" s="294">
        <v>0.7</v>
      </c>
      <c r="AE12" s="279">
        <f>AA12*Y12</f>
        <v>1.2000000000000002</v>
      </c>
      <c r="AF12" s="194">
        <f t="shared" si="6"/>
        <v>0</v>
      </c>
      <c r="AG12" s="55" t="e">
        <f t="shared" si="7"/>
        <v>#DIV/0!</v>
      </c>
      <c r="AH12" s="317">
        <f t="shared" si="8"/>
        <v>0</v>
      </c>
      <c r="AI12" s="45" t="e">
        <f t="shared" si="9"/>
        <v>#DIV/0!</v>
      </c>
      <c r="AJ12" s="195" t="e">
        <f t="shared" si="10"/>
        <v>#DIV/0!</v>
      </c>
      <c r="AK12" s="196" t="e">
        <f>AH12/AF12*AE12</f>
        <v>#DIV/0!</v>
      </c>
      <c r="AL12" s="195" t="e">
        <f t="shared" si="14"/>
        <v>#DIV/0!</v>
      </c>
      <c r="AM12" s="204">
        <f t="shared" si="15"/>
        <v>2.4000000000000004</v>
      </c>
      <c r="AN12" s="259"/>
    </row>
    <row r="13" spans="1:40" ht="29" x14ac:dyDescent="0.35">
      <c r="A13" s="453"/>
      <c r="B13" s="477"/>
      <c r="C13" s="16" t="s">
        <v>54</v>
      </c>
      <c r="D13" s="316" t="s">
        <v>72</v>
      </c>
      <c r="E13" s="316" t="s">
        <v>72</v>
      </c>
      <c r="F13" s="44"/>
      <c r="G13" s="38">
        <f t="shared" si="11"/>
        <v>0</v>
      </c>
      <c r="H13" s="45" t="e">
        <f t="shared" si="12"/>
        <v>#DIV/0!</v>
      </c>
      <c r="I13" s="46" t="e">
        <f t="shared" si="13"/>
        <v>#DIV/0!</v>
      </c>
      <c r="J13" s="194">
        <f t="shared" si="0"/>
        <v>0</v>
      </c>
      <c r="K13" s="45" t="e">
        <f t="shared" si="1"/>
        <v>#DIV/0!</v>
      </c>
      <c r="L13" s="195" t="e">
        <f t="shared" si="1"/>
        <v>#DIV/0!</v>
      </c>
      <c r="M13" s="454"/>
      <c r="N13" s="467"/>
      <c r="O13" s="296">
        <v>0.2</v>
      </c>
      <c r="P13" s="304">
        <v>0.2</v>
      </c>
      <c r="Q13" s="28">
        <f>O13*M12</f>
        <v>1</v>
      </c>
      <c r="R13" s="38">
        <f>P13*D2</f>
        <v>0</v>
      </c>
      <c r="S13" s="55" t="e">
        <f t="shared" si="2"/>
        <v>#DIV/0!</v>
      </c>
      <c r="T13" s="317">
        <f t="shared" si="3"/>
        <v>0</v>
      </c>
      <c r="U13" s="45" t="e">
        <f t="shared" si="4"/>
        <v>#DIV/0!</v>
      </c>
      <c r="V13" s="46" t="e">
        <f t="shared" si="5"/>
        <v>#DIV/0!</v>
      </c>
      <c r="W13" s="110"/>
      <c r="X13" s="110"/>
      <c r="Y13" s="454"/>
      <c r="Z13" s="457"/>
      <c r="AA13" s="296">
        <v>0.2</v>
      </c>
      <c r="AB13" s="193"/>
      <c r="AC13" s="283" t="s">
        <v>249</v>
      </c>
      <c r="AD13" s="304">
        <v>0.25</v>
      </c>
      <c r="AE13" s="279">
        <f>AA13*Y12</f>
        <v>0.30000000000000004</v>
      </c>
      <c r="AF13" s="194">
        <f t="shared" si="6"/>
        <v>0</v>
      </c>
      <c r="AG13" s="55" t="e">
        <f t="shared" si="7"/>
        <v>#DIV/0!</v>
      </c>
      <c r="AH13" s="317">
        <f t="shared" si="8"/>
        <v>0</v>
      </c>
      <c r="AI13" s="45" t="e">
        <f t="shared" si="9"/>
        <v>#DIV/0!</v>
      </c>
      <c r="AJ13" s="195" t="e">
        <f t="shared" si="10"/>
        <v>#DIV/0!</v>
      </c>
      <c r="AK13" s="196" t="e">
        <f>(AH13/AF13*AE13)</f>
        <v>#DIV/0!</v>
      </c>
      <c r="AL13" s="195" t="e">
        <f t="shared" si="14"/>
        <v>#DIV/0!</v>
      </c>
      <c r="AM13" s="204">
        <f t="shared" si="15"/>
        <v>0.60000000000000009</v>
      </c>
      <c r="AN13" s="259"/>
    </row>
    <row r="14" spans="1:40" x14ac:dyDescent="0.35">
      <c r="A14" s="453">
        <v>3</v>
      </c>
      <c r="B14" s="477" t="s">
        <v>55</v>
      </c>
      <c r="C14" s="17" t="s">
        <v>56</v>
      </c>
      <c r="D14" s="315"/>
      <c r="E14" s="315"/>
      <c r="F14" s="48">
        <f>SUM(F15:F17)</f>
        <v>0</v>
      </c>
      <c r="G14" s="31"/>
      <c r="H14" s="43"/>
      <c r="I14" s="49"/>
      <c r="J14" s="26"/>
      <c r="K14" s="43"/>
      <c r="L14" s="120"/>
      <c r="M14" s="406">
        <v>7.5</v>
      </c>
      <c r="N14" s="467">
        <v>0.3</v>
      </c>
      <c r="O14" s="25">
        <f>SUM(O15:O17)</f>
        <v>1</v>
      </c>
      <c r="P14" s="31"/>
      <c r="Q14" s="32"/>
      <c r="R14" s="31"/>
      <c r="S14" s="48"/>
      <c r="T14" s="48">
        <f>SUM(T15:T17)</f>
        <v>0</v>
      </c>
      <c r="U14" s="43"/>
      <c r="V14" s="49"/>
      <c r="W14" s="110"/>
      <c r="X14" s="110"/>
      <c r="Y14" s="406">
        <v>4.5</v>
      </c>
      <c r="Z14" s="455">
        <v>0.3</v>
      </c>
      <c r="AA14" s="25">
        <f>SUM(AA15:AA17)</f>
        <v>1</v>
      </c>
      <c r="AB14" s="110"/>
      <c r="AC14" s="110"/>
      <c r="AD14" s="31"/>
      <c r="AE14" s="32"/>
      <c r="AF14" s="26"/>
      <c r="AG14" s="48"/>
      <c r="AH14" s="48">
        <f>SUM(AH15:AH17)</f>
        <v>0</v>
      </c>
      <c r="AI14" s="43"/>
      <c r="AJ14" s="120"/>
      <c r="AK14" s="192"/>
      <c r="AL14" s="120"/>
      <c r="AM14" s="205"/>
      <c r="AN14" s="49"/>
    </row>
    <row r="15" spans="1:40" x14ac:dyDescent="0.35">
      <c r="A15" s="453"/>
      <c r="B15" s="477"/>
      <c r="C15" s="18" t="s">
        <v>57</v>
      </c>
      <c r="D15" s="316" t="s">
        <v>72</v>
      </c>
      <c r="E15" s="316" t="s">
        <v>72</v>
      </c>
      <c r="F15" s="50"/>
      <c r="G15" s="39">
        <f>R15</f>
        <v>0</v>
      </c>
      <c r="H15" s="45" t="e">
        <f t="shared" si="12"/>
        <v>#DIV/0!</v>
      </c>
      <c r="I15" s="46" t="e">
        <f>V15</f>
        <v>#DIV/0!</v>
      </c>
      <c r="J15" s="197">
        <f t="shared" ref="J15:J21" si="16">AF15</f>
        <v>0</v>
      </c>
      <c r="K15" s="45" t="e">
        <f t="shared" ref="K15:L21" si="17">AI15</f>
        <v>#DIV/0!</v>
      </c>
      <c r="L15" s="195" t="e">
        <f t="shared" si="17"/>
        <v>#DIV/0!</v>
      </c>
      <c r="M15" s="407"/>
      <c r="N15" s="467"/>
      <c r="O15" s="296">
        <v>0.3</v>
      </c>
      <c r="P15" s="33">
        <v>30</v>
      </c>
      <c r="Q15" s="34">
        <f>O15*M14</f>
        <v>2.25</v>
      </c>
      <c r="R15" s="39">
        <f>P15*$D$2/100</f>
        <v>0</v>
      </c>
      <c r="S15" s="300" t="e">
        <f>+MIN(15, ABS(W15-P15))</f>
        <v>#DIV/0!</v>
      </c>
      <c r="T15" s="318">
        <f t="shared" ref="T15:T22" si="18">F15</f>
        <v>0</v>
      </c>
      <c r="U15" s="45" t="e">
        <f>Q15-S15*Q15/15</f>
        <v>#DIV/0!</v>
      </c>
      <c r="V15" s="46" t="e">
        <f t="shared" ref="V15:V23" si="19">U15/Q15</f>
        <v>#DIV/0!</v>
      </c>
      <c r="W15" s="112" t="e">
        <f>T15/$D$2*100</f>
        <v>#DIV/0!</v>
      </c>
      <c r="X15" s="110"/>
      <c r="Y15" s="407"/>
      <c r="Z15" s="456"/>
      <c r="AA15" s="296">
        <v>0.3</v>
      </c>
      <c r="AB15" s="53"/>
      <c r="AC15" s="283" t="s">
        <v>249</v>
      </c>
      <c r="AD15" s="33">
        <v>30</v>
      </c>
      <c r="AE15" s="34">
        <f>AA15*Y14</f>
        <v>1.3499999999999999</v>
      </c>
      <c r="AF15" s="197">
        <f>AD15*$D$2/100</f>
        <v>0</v>
      </c>
      <c r="AG15" s="300" t="e">
        <f>+MIN(15, ABS(AN15-AD15))</f>
        <v>#DIV/0!</v>
      </c>
      <c r="AH15" s="318">
        <f t="shared" ref="AH15:AH22" si="20">F15</f>
        <v>0</v>
      </c>
      <c r="AI15" s="45" t="e">
        <f>AE15-AG15*AE15/15</f>
        <v>#DIV/0!</v>
      </c>
      <c r="AJ15" s="195" t="e">
        <f>AI15/AE15</f>
        <v>#DIV/0!</v>
      </c>
      <c r="AK15" s="196" t="e">
        <f>AI15</f>
        <v>#DIV/0!</v>
      </c>
      <c r="AL15" s="195" t="e">
        <f>AK15/AE15</f>
        <v>#DIV/0!</v>
      </c>
      <c r="AM15" s="206">
        <f>AE15</f>
        <v>1.3499999999999999</v>
      </c>
      <c r="AN15" s="112" t="e">
        <f>AH15/$D$2*100</f>
        <v>#DIV/0!</v>
      </c>
    </row>
    <row r="16" spans="1:40" x14ac:dyDescent="0.35">
      <c r="A16" s="453"/>
      <c r="B16" s="477"/>
      <c r="C16" s="18" t="s">
        <v>58</v>
      </c>
      <c r="D16" s="316" t="s">
        <v>72</v>
      </c>
      <c r="E16" s="316" t="s">
        <v>72</v>
      </c>
      <c r="F16" s="50"/>
      <c r="G16" s="39">
        <f t="shared" ref="G16:G22" si="21">R16</f>
        <v>0</v>
      </c>
      <c r="H16" s="45" t="e">
        <f t="shared" si="12"/>
        <v>#DIV/0!</v>
      </c>
      <c r="I16" s="46" t="e">
        <f t="shared" ref="I16:I23" si="22">V16</f>
        <v>#DIV/0!</v>
      </c>
      <c r="J16" s="197">
        <f t="shared" si="16"/>
        <v>0</v>
      </c>
      <c r="K16" s="45" t="e">
        <f t="shared" si="17"/>
        <v>#DIV/0!</v>
      </c>
      <c r="L16" s="195" t="e">
        <f t="shared" si="17"/>
        <v>#DIV/0!</v>
      </c>
      <c r="M16" s="407"/>
      <c r="N16" s="467"/>
      <c r="O16" s="296">
        <v>0.4</v>
      </c>
      <c r="P16" s="302">
        <v>40</v>
      </c>
      <c r="Q16" s="34">
        <f>O16*M14</f>
        <v>3</v>
      </c>
      <c r="R16" s="39">
        <f>P16*$D$2/100</f>
        <v>0</v>
      </c>
      <c r="S16" s="300" t="e">
        <f>+MIN(15, ABS(W16-P16))</f>
        <v>#DIV/0!</v>
      </c>
      <c r="T16" s="318">
        <f t="shared" si="18"/>
        <v>0</v>
      </c>
      <c r="U16" s="45" t="e">
        <f>Q16-S16*Q16/15</f>
        <v>#DIV/0!</v>
      </c>
      <c r="V16" s="46" t="e">
        <f t="shared" si="19"/>
        <v>#DIV/0!</v>
      </c>
      <c r="W16" s="112" t="e">
        <f>T16/$D$2*100</f>
        <v>#DIV/0!</v>
      </c>
      <c r="X16" s="110"/>
      <c r="Y16" s="407"/>
      <c r="Z16" s="456"/>
      <c r="AA16" s="296">
        <v>0.4</v>
      </c>
      <c r="AB16" s="53"/>
      <c r="AC16" s="283" t="s">
        <v>249</v>
      </c>
      <c r="AD16" s="302">
        <v>40</v>
      </c>
      <c r="AE16" s="34">
        <f>AA16*Y14</f>
        <v>1.8</v>
      </c>
      <c r="AF16" s="197">
        <f>AD16*$D$2/100</f>
        <v>0</v>
      </c>
      <c r="AG16" s="300" t="e">
        <f>+MIN(15, ABS(AN16-AD16))</f>
        <v>#DIV/0!</v>
      </c>
      <c r="AH16" s="318">
        <f t="shared" si="20"/>
        <v>0</v>
      </c>
      <c r="AI16" s="45" t="e">
        <f>AE16-AG16*AE16/15</f>
        <v>#DIV/0!</v>
      </c>
      <c r="AJ16" s="195" t="e">
        <f t="shared" ref="AJ16:AJ21" si="23">AI16/AE16</f>
        <v>#DIV/0!</v>
      </c>
      <c r="AK16" s="196" t="e">
        <f>AI16</f>
        <v>#DIV/0!</v>
      </c>
      <c r="AL16" s="195" t="e">
        <f t="shared" ref="AL16:AL21" si="24">AK16/AE16</f>
        <v>#DIV/0!</v>
      </c>
      <c r="AM16" s="206">
        <f t="shared" ref="AM16:AM17" si="25">AE16</f>
        <v>1.8</v>
      </c>
      <c r="AN16" s="112" t="e">
        <f>AH16/$D$2*100</f>
        <v>#DIV/0!</v>
      </c>
    </row>
    <row r="17" spans="1:40" x14ac:dyDescent="0.35">
      <c r="A17" s="406"/>
      <c r="B17" s="478"/>
      <c r="C17" s="20" t="s">
        <v>59</v>
      </c>
      <c r="D17" s="316" t="s">
        <v>72</v>
      </c>
      <c r="E17" s="316" t="s">
        <v>72</v>
      </c>
      <c r="F17" s="51"/>
      <c r="G17" s="39">
        <f t="shared" si="21"/>
        <v>0</v>
      </c>
      <c r="H17" s="45" t="e">
        <f t="shared" si="12"/>
        <v>#DIV/0!</v>
      </c>
      <c r="I17" s="46" t="e">
        <f t="shared" si="22"/>
        <v>#DIV/0!</v>
      </c>
      <c r="J17" s="197">
        <f t="shared" si="16"/>
        <v>0</v>
      </c>
      <c r="K17" s="45" t="e">
        <f t="shared" si="17"/>
        <v>#DIV/0!</v>
      </c>
      <c r="L17" s="195" t="e">
        <f t="shared" si="17"/>
        <v>#DIV/0!</v>
      </c>
      <c r="M17" s="407"/>
      <c r="N17" s="455"/>
      <c r="O17" s="35">
        <v>0.3</v>
      </c>
      <c r="P17" s="311">
        <v>30</v>
      </c>
      <c r="Q17" s="36">
        <f>O17*M14</f>
        <v>2.25</v>
      </c>
      <c r="R17" s="40">
        <f>P17*$D$2/100</f>
        <v>0</v>
      </c>
      <c r="S17" s="57" t="e">
        <f>+MIN(15, ABS(W17-P17))</f>
        <v>#DIV/0!</v>
      </c>
      <c r="T17" s="318">
        <f t="shared" si="18"/>
        <v>0</v>
      </c>
      <c r="U17" s="276" t="e">
        <f>Q17-S17*Q17/15</f>
        <v>#DIV/0!</v>
      </c>
      <c r="V17" s="46" t="e">
        <f t="shared" si="19"/>
        <v>#DIV/0!</v>
      </c>
      <c r="W17" s="112" t="e">
        <f>T17/$D$2*100</f>
        <v>#DIV/0!</v>
      </c>
      <c r="X17" s="110"/>
      <c r="Y17" s="454"/>
      <c r="Z17" s="457"/>
      <c r="AA17" s="296">
        <v>0.3</v>
      </c>
      <c r="AB17" s="53"/>
      <c r="AC17" s="283" t="s">
        <v>249</v>
      </c>
      <c r="AD17" s="302">
        <v>30</v>
      </c>
      <c r="AE17" s="34">
        <f>AA17*Y14</f>
        <v>1.3499999999999999</v>
      </c>
      <c r="AF17" s="197">
        <f>AD17*$D$2/100</f>
        <v>0</v>
      </c>
      <c r="AG17" s="300" t="e">
        <f>+MIN(15, ABS(AN17-AD17))</f>
        <v>#DIV/0!</v>
      </c>
      <c r="AH17" s="318">
        <f t="shared" si="20"/>
        <v>0</v>
      </c>
      <c r="AI17" s="45" t="e">
        <f>AE17-AG17*AE17/15</f>
        <v>#DIV/0!</v>
      </c>
      <c r="AJ17" s="195" t="e">
        <f t="shared" si="23"/>
        <v>#DIV/0!</v>
      </c>
      <c r="AK17" s="196" t="e">
        <f>AI17</f>
        <v>#DIV/0!</v>
      </c>
      <c r="AL17" s="195" t="e">
        <f t="shared" si="24"/>
        <v>#DIV/0!</v>
      </c>
      <c r="AM17" s="206">
        <f t="shared" si="25"/>
        <v>1.3499999999999999</v>
      </c>
      <c r="AN17" s="112" t="e">
        <f>AH17/$D$2*100</f>
        <v>#DIV/0!</v>
      </c>
    </row>
    <row r="18" spans="1:40" ht="29" x14ac:dyDescent="0.35">
      <c r="A18" s="406">
        <v>4</v>
      </c>
      <c r="B18" s="512" t="s">
        <v>60</v>
      </c>
      <c r="C18" s="21" t="s">
        <v>65</v>
      </c>
      <c r="D18" s="316" t="s">
        <v>72</v>
      </c>
      <c r="E18" s="316" t="s">
        <v>72</v>
      </c>
      <c r="F18" s="50"/>
      <c r="G18" s="39">
        <f t="shared" si="21"/>
        <v>0</v>
      </c>
      <c r="H18" s="45" t="e">
        <f t="shared" si="12"/>
        <v>#DIV/0!</v>
      </c>
      <c r="I18" s="46" t="e">
        <f t="shared" si="22"/>
        <v>#DIV/0!</v>
      </c>
      <c r="J18" s="198">
        <f t="shared" si="16"/>
        <v>0</v>
      </c>
      <c r="K18" s="45" t="e">
        <f t="shared" si="17"/>
        <v>#DIV/0!</v>
      </c>
      <c r="L18" s="195" t="e">
        <f t="shared" si="17"/>
        <v>#DIV/0!</v>
      </c>
      <c r="M18" s="453">
        <v>5</v>
      </c>
      <c r="N18" s="467">
        <v>0.2</v>
      </c>
      <c r="O18" s="295">
        <v>0.2</v>
      </c>
      <c r="P18" s="302">
        <v>15</v>
      </c>
      <c r="Q18" s="28">
        <f>O18*M18</f>
        <v>1</v>
      </c>
      <c r="R18" s="38">
        <f>ROUNDUP(P18*$D$2/1500,0)</f>
        <v>0</v>
      </c>
      <c r="S18" s="55">
        <f>Q18/P18</f>
        <v>6.6666666666666666E-2</v>
      </c>
      <c r="T18" s="318">
        <f t="shared" si="18"/>
        <v>0</v>
      </c>
      <c r="U18" s="45" t="e">
        <f>IF(T18/R18*Q18&gt;Q18*2,Q18*2,T18/R18*Q18)</f>
        <v>#DIV/0!</v>
      </c>
      <c r="V18" s="46" t="e">
        <f t="shared" si="19"/>
        <v>#DIV/0!</v>
      </c>
      <c r="W18" s="110"/>
      <c r="X18" s="110"/>
      <c r="Y18" s="406">
        <v>4.5</v>
      </c>
      <c r="Z18" s="455">
        <v>0.3</v>
      </c>
      <c r="AA18" s="296">
        <v>0.2</v>
      </c>
      <c r="AB18" s="53"/>
      <c r="AC18" s="283" t="s">
        <v>250</v>
      </c>
      <c r="AD18" s="279">
        <v>30</v>
      </c>
      <c r="AE18" s="28">
        <f>AA18*Y18</f>
        <v>0.9</v>
      </c>
      <c r="AF18" s="198">
        <f>IF(ROUNDUP(AD18*$D$2/1500,0)&gt;AD18,AD18,ROUNDUP(AD18*$D$2/1500,0))</f>
        <v>0</v>
      </c>
      <c r="AG18" s="283">
        <f>AE18/AD18</f>
        <v>3.0000000000000002E-2</v>
      </c>
      <c r="AH18" s="318">
        <f t="shared" si="20"/>
        <v>0</v>
      </c>
      <c r="AI18" s="45" t="e">
        <f>IF(AH18/AF18*AE18&gt;AE18*2,AE18*2,AH18/AF18*AE18)</f>
        <v>#DIV/0!</v>
      </c>
      <c r="AJ18" s="195" t="e">
        <f>AI18/AE18</f>
        <v>#DIV/0!</v>
      </c>
      <c r="AK18" s="196" t="e">
        <f>AH18/AF18*AE18</f>
        <v>#DIV/0!</v>
      </c>
      <c r="AL18" s="195" t="e">
        <f t="shared" si="24"/>
        <v>#DIV/0!</v>
      </c>
      <c r="AM18" s="204">
        <f t="shared" ref="AM18:AM21" si="26">2*AE18</f>
        <v>1.8</v>
      </c>
      <c r="AN18" s="259"/>
    </row>
    <row r="19" spans="1:40" ht="29" x14ac:dyDescent="0.35">
      <c r="A19" s="407"/>
      <c r="B19" s="513"/>
      <c r="C19" s="21" t="s">
        <v>66</v>
      </c>
      <c r="D19" s="316" t="s">
        <v>72</v>
      </c>
      <c r="E19" s="316" t="s">
        <v>72</v>
      </c>
      <c r="F19" s="50"/>
      <c r="G19" s="39">
        <f t="shared" si="21"/>
        <v>0</v>
      </c>
      <c r="H19" s="45" t="e">
        <f t="shared" si="12"/>
        <v>#DIV/0!</v>
      </c>
      <c r="I19" s="46" t="e">
        <f t="shared" si="22"/>
        <v>#DIV/0!</v>
      </c>
      <c r="J19" s="198">
        <f t="shared" si="16"/>
        <v>0</v>
      </c>
      <c r="K19" s="45" t="e">
        <f t="shared" si="17"/>
        <v>#DIV/0!</v>
      </c>
      <c r="L19" s="195" t="e">
        <f t="shared" si="17"/>
        <v>#DIV/0!</v>
      </c>
      <c r="M19" s="453"/>
      <c r="N19" s="467"/>
      <c r="O19" s="295">
        <v>0.2</v>
      </c>
      <c r="P19" s="302">
        <v>15</v>
      </c>
      <c r="Q19" s="28">
        <f>O19*M18</f>
        <v>1</v>
      </c>
      <c r="R19" s="38">
        <f>ROUNDUP(P19*$D$2/1500,0)</f>
        <v>0</v>
      </c>
      <c r="S19" s="55">
        <f t="shared" ref="S19:S21" si="27">Q19/P19</f>
        <v>6.6666666666666666E-2</v>
      </c>
      <c r="T19" s="318">
        <f t="shared" si="18"/>
        <v>0</v>
      </c>
      <c r="U19" s="45" t="e">
        <f>IF(T19/R19*Q19&gt;Q19*2,Q19*2,T19/R19*Q19)</f>
        <v>#DIV/0!</v>
      </c>
      <c r="V19" s="46" t="e">
        <f t="shared" si="19"/>
        <v>#DIV/0!</v>
      </c>
      <c r="W19" s="110"/>
      <c r="X19" s="110"/>
      <c r="Y19" s="407"/>
      <c r="Z19" s="456"/>
      <c r="AA19" s="296">
        <v>0.2</v>
      </c>
      <c r="AB19" s="53"/>
      <c r="AC19" s="283" t="s">
        <v>250</v>
      </c>
      <c r="AD19" s="279">
        <v>30</v>
      </c>
      <c r="AE19" s="28">
        <f>AA19*Y18</f>
        <v>0.9</v>
      </c>
      <c r="AF19" s="198">
        <f>IF(ROUNDUP(AD19*$D$2/1500,0)&gt;AD19,AD19,ROUNDUP(AD19*$D$2/1500,0))</f>
        <v>0</v>
      </c>
      <c r="AG19" s="283">
        <f>AE19/AD19</f>
        <v>3.0000000000000002E-2</v>
      </c>
      <c r="AH19" s="318">
        <f t="shared" si="20"/>
        <v>0</v>
      </c>
      <c r="AI19" s="45" t="e">
        <f>IF(AH19/AF19*AE19&gt;AE19*2,AE19*2,AH19/AF19*AE19)</f>
        <v>#DIV/0!</v>
      </c>
      <c r="AJ19" s="195" t="e">
        <f t="shared" si="23"/>
        <v>#DIV/0!</v>
      </c>
      <c r="AK19" s="196" t="e">
        <f>AH19/AF19*AE19</f>
        <v>#DIV/0!</v>
      </c>
      <c r="AL19" s="195" t="e">
        <f t="shared" si="24"/>
        <v>#DIV/0!</v>
      </c>
      <c r="AM19" s="204">
        <f t="shared" si="26"/>
        <v>1.8</v>
      </c>
      <c r="AN19" s="259"/>
    </row>
    <row r="20" spans="1:40" ht="29" x14ac:dyDescent="0.35">
      <c r="A20" s="407"/>
      <c r="B20" s="513"/>
      <c r="C20" s="21" t="s">
        <v>67</v>
      </c>
      <c r="D20" s="316" t="s">
        <v>72</v>
      </c>
      <c r="E20" s="316" t="s">
        <v>72</v>
      </c>
      <c r="F20" s="50"/>
      <c r="G20" s="39">
        <f t="shared" si="21"/>
        <v>0</v>
      </c>
      <c r="H20" s="45" t="e">
        <f t="shared" si="12"/>
        <v>#DIV/0!</v>
      </c>
      <c r="I20" s="46" t="e">
        <f t="shared" si="22"/>
        <v>#DIV/0!</v>
      </c>
      <c r="J20" s="198">
        <f t="shared" si="16"/>
        <v>0</v>
      </c>
      <c r="K20" s="45" t="e">
        <f t="shared" si="17"/>
        <v>#DIV/0!</v>
      </c>
      <c r="L20" s="195" t="e">
        <f t="shared" si="17"/>
        <v>#DIV/0!</v>
      </c>
      <c r="M20" s="453"/>
      <c r="N20" s="467"/>
      <c r="O20" s="295">
        <v>0.25</v>
      </c>
      <c r="P20" s="302">
        <v>20</v>
      </c>
      <c r="Q20" s="28">
        <f>O20*M18</f>
        <v>1.25</v>
      </c>
      <c r="R20" s="38">
        <f>ROUNDUP(P20*$D$2/1500,0)</f>
        <v>0</v>
      </c>
      <c r="S20" s="58">
        <f t="shared" si="27"/>
        <v>6.25E-2</v>
      </c>
      <c r="T20" s="318">
        <f t="shared" si="18"/>
        <v>0</v>
      </c>
      <c r="U20" s="45" t="e">
        <f>IF(T20/R20*Q20&gt;Q20*2,Q20*2,T20/R20*Q20)</f>
        <v>#DIV/0!</v>
      </c>
      <c r="V20" s="46" t="e">
        <f t="shared" si="19"/>
        <v>#DIV/0!</v>
      </c>
      <c r="W20" s="110"/>
      <c r="X20" s="110"/>
      <c r="Y20" s="407"/>
      <c r="Z20" s="456"/>
      <c r="AA20" s="296">
        <v>0.3</v>
      </c>
      <c r="AB20" s="53"/>
      <c r="AC20" s="283" t="s">
        <v>250</v>
      </c>
      <c r="AD20" s="279">
        <v>30</v>
      </c>
      <c r="AE20" s="28">
        <f>AA20*Y18</f>
        <v>1.3499999999999999</v>
      </c>
      <c r="AF20" s="198">
        <f>IF(ROUNDUP(AD20*$D$2/1500,0)&gt;AD20,AD20,ROUNDUP(AD20*$D$2/1500,0))</f>
        <v>0</v>
      </c>
      <c r="AG20" s="58">
        <f>AE20/AD20</f>
        <v>4.4999999999999998E-2</v>
      </c>
      <c r="AH20" s="318">
        <f t="shared" si="20"/>
        <v>0</v>
      </c>
      <c r="AI20" s="45" t="e">
        <f>IF(AH20/AF20*AE20&gt;AE20*2,AE20*2,AH20/AF20*AE20)</f>
        <v>#DIV/0!</v>
      </c>
      <c r="AJ20" s="195" t="e">
        <f t="shared" si="23"/>
        <v>#DIV/0!</v>
      </c>
      <c r="AK20" s="196" t="e">
        <f>AH20/AF20*AE20</f>
        <v>#DIV/0!</v>
      </c>
      <c r="AL20" s="195" t="e">
        <f t="shared" si="24"/>
        <v>#DIV/0!</v>
      </c>
      <c r="AM20" s="204">
        <f t="shared" si="26"/>
        <v>2.6999999999999997</v>
      </c>
      <c r="AN20" s="259"/>
    </row>
    <row r="21" spans="1:40" ht="29" x14ac:dyDescent="0.35">
      <c r="A21" s="407"/>
      <c r="B21" s="513"/>
      <c r="C21" s="21" t="s">
        <v>68</v>
      </c>
      <c r="D21" s="316" t="s">
        <v>72</v>
      </c>
      <c r="E21" s="316" t="s">
        <v>72</v>
      </c>
      <c r="F21" s="50"/>
      <c r="G21" s="39">
        <f t="shared" si="21"/>
        <v>0</v>
      </c>
      <c r="H21" s="45" t="e">
        <f t="shared" si="12"/>
        <v>#DIV/0!</v>
      </c>
      <c r="I21" s="46" t="e">
        <f t="shared" si="22"/>
        <v>#DIV/0!</v>
      </c>
      <c r="J21" s="198">
        <f t="shared" si="16"/>
        <v>0</v>
      </c>
      <c r="K21" s="45" t="e">
        <f t="shared" si="17"/>
        <v>#DIV/0!</v>
      </c>
      <c r="L21" s="195" t="e">
        <f t="shared" si="17"/>
        <v>#DIV/0!</v>
      </c>
      <c r="M21" s="453"/>
      <c r="N21" s="467"/>
      <c r="O21" s="295">
        <v>0.25</v>
      </c>
      <c r="P21" s="302">
        <v>25</v>
      </c>
      <c r="Q21" s="28">
        <f>O21*M18</f>
        <v>1.25</v>
      </c>
      <c r="R21" s="38">
        <f>ROUNDUP(P21*$D$2/1500,0)</f>
        <v>0</v>
      </c>
      <c r="S21" s="283">
        <f t="shared" si="27"/>
        <v>0.05</v>
      </c>
      <c r="T21" s="318">
        <f t="shared" si="18"/>
        <v>0</v>
      </c>
      <c r="U21" s="45" t="e">
        <f>IF(T21/R21*Q21&gt;Q21*2,Q21*2,T21/R21*Q21)</f>
        <v>#DIV/0!</v>
      </c>
      <c r="V21" s="46" t="e">
        <f t="shared" si="19"/>
        <v>#DIV/0!</v>
      </c>
      <c r="W21" s="110"/>
      <c r="X21" s="110"/>
      <c r="Y21" s="454"/>
      <c r="Z21" s="457"/>
      <c r="AA21" s="296">
        <v>0.3</v>
      </c>
      <c r="AB21" s="53"/>
      <c r="AC21" s="283" t="s">
        <v>250</v>
      </c>
      <c r="AD21" s="279">
        <v>45</v>
      </c>
      <c r="AE21" s="28">
        <f>AA21*Y18</f>
        <v>1.3499999999999999</v>
      </c>
      <c r="AF21" s="198">
        <f>IF(ROUNDUP(AD21*$D$2/1500,0)&gt;AD21,AD21,ROUNDUP(AD21*$D$2/1500,0))</f>
        <v>0</v>
      </c>
      <c r="AG21" s="283">
        <f>AE21/AD21</f>
        <v>2.9999999999999995E-2</v>
      </c>
      <c r="AH21" s="318">
        <f t="shared" si="20"/>
        <v>0</v>
      </c>
      <c r="AI21" s="45" t="e">
        <f>IF(AH21/AF21*AE21&gt;AE21*2,AE21*2,AH21/AF21*AE21)</f>
        <v>#DIV/0!</v>
      </c>
      <c r="AJ21" s="195" t="e">
        <f t="shared" si="23"/>
        <v>#DIV/0!</v>
      </c>
      <c r="AK21" s="196" t="e">
        <f>IF(AH21/AF21*AE21&gt;AE21*2,AE21*2,AH21/AF21*AE21)</f>
        <v>#DIV/0!</v>
      </c>
      <c r="AL21" s="195" t="e">
        <f t="shared" si="24"/>
        <v>#DIV/0!</v>
      </c>
      <c r="AM21" s="204">
        <f t="shared" si="26"/>
        <v>2.6999999999999997</v>
      </c>
      <c r="AN21" s="259"/>
    </row>
    <row r="22" spans="1:40" x14ac:dyDescent="0.35">
      <c r="A22" s="454"/>
      <c r="B22" s="514"/>
      <c r="C22" s="22" t="s">
        <v>69</v>
      </c>
      <c r="D22" s="316" t="s">
        <v>72</v>
      </c>
      <c r="E22" s="316" t="s">
        <v>43</v>
      </c>
      <c r="F22" s="50"/>
      <c r="G22" s="39">
        <f t="shared" si="21"/>
        <v>0</v>
      </c>
      <c r="H22" s="45" t="e">
        <f t="shared" si="12"/>
        <v>#DIV/0!</v>
      </c>
      <c r="I22" s="46" t="e">
        <f t="shared" si="22"/>
        <v>#DIV/0!</v>
      </c>
      <c r="J22" s="319"/>
      <c r="K22" s="319"/>
      <c r="L22" s="319"/>
      <c r="M22" s="453"/>
      <c r="N22" s="467"/>
      <c r="O22" s="295">
        <v>0.1</v>
      </c>
      <c r="P22" s="302">
        <v>50</v>
      </c>
      <c r="Q22" s="28">
        <f>O22*M18</f>
        <v>0.5</v>
      </c>
      <c r="R22" s="38">
        <f>ROUNDUP(P22*$D$2/1500,0)</f>
        <v>0</v>
      </c>
      <c r="S22" s="283">
        <f>Q22/P22</f>
        <v>0.01</v>
      </c>
      <c r="T22" s="318">
        <f t="shared" si="18"/>
        <v>0</v>
      </c>
      <c r="U22" s="45" t="e">
        <f>IF(T22/R22*Q22&gt;Q22*2,Q22*2,T22/R22*Q22)</f>
        <v>#DIV/0!</v>
      </c>
      <c r="V22" s="46" t="e">
        <f t="shared" si="19"/>
        <v>#DIV/0!</v>
      </c>
      <c r="W22" s="110"/>
      <c r="X22" s="110"/>
      <c r="Y22" s="319"/>
      <c r="Z22" s="319"/>
      <c r="AA22" s="319"/>
      <c r="AB22" s="319"/>
      <c r="AC22" s="319"/>
      <c r="AD22" s="319"/>
      <c r="AE22" s="319"/>
      <c r="AF22" s="319"/>
      <c r="AG22" s="319"/>
      <c r="AH22" s="319">
        <f t="shared" si="20"/>
        <v>0</v>
      </c>
      <c r="AI22" s="319"/>
      <c r="AJ22" s="319"/>
      <c r="AK22" s="319"/>
      <c r="AL22" s="319"/>
      <c r="AM22" s="319"/>
      <c r="AN22" s="319"/>
    </row>
    <row r="23" spans="1:40" x14ac:dyDescent="0.35">
      <c r="A23" s="468" t="s">
        <v>61</v>
      </c>
      <c r="B23" s="469"/>
      <c r="C23" s="470"/>
      <c r="H23" s="105" t="e">
        <f>U23</f>
        <v>#DIV/0!</v>
      </c>
      <c r="I23" s="46" t="e">
        <f t="shared" si="22"/>
        <v>#DIV/0!</v>
      </c>
      <c r="K23" s="82" t="e">
        <f>AI23</f>
        <v>#DIV/0!</v>
      </c>
      <c r="L23" s="195" t="e">
        <f>AJ23</f>
        <v>#DIV/0!</v>
      </c>
      <c r="M23" s="100">
        <f>SUM(M7:M18)</f>
        <v>25</v>
      </c>
      <c r="N23" s="101">
        <f>SUM(N7:N21)</f>
        <v>1</v>
      </c>
      <c r="O23" s="102"/>
      <c r="P23" s="100"/>
      <c r="Q23" s="103">
        <f>SUM(Q8:Q22)</f>
        <v>25</v>
      </c>
      <c r="R23" s="100"/>
      <c r="S23" s="104"/>
      <c r="T23" s="104"/>
      <c r="U23" s="105" t="e">
        <f>SUM(U8:U22)</f>
        <v>#DIV/0!</v>
      </c>
      <c r="V23" s="46" t="e">
        <f t="shared" si="19"/>
        <v>#DIV/0!</v>
      </c>
      <c r="W23" s="110"/>
      <c r="X23" s="110"/>
      <c r="Y23" s="199">
        <f>SUM(Y7:Y18)</f>
        <v>15</v>
      </c>
      <c r="Z23" s="200">
        <f>SUM(Z7:Z21)</f>
        <v>1</v>
      </c>
      <c r="AA23" s="201"/>
      <c r="AB23" s="201"/>
      <c r="AC23" s="201"/>
      <c r="AD23" s="199"/>
      <c r="AE23" s="202">
        <f>SUM(AE8:AE21)</f>
        <v>15</v>
      </c>
      <c r="AF23" s="199"/>
      <c r="AG23" s="149"/>
      <c r="AH23" s="149"/>
      <c r="AI23" s="82" t="e">
        <f>SUM(AI8:AI21)</f>
        <v>#DIV/0!</v>
      </c>
      <c r="AJ23" s="195" t="e">
        <f>AI23/AE23</f>
        <v>#DIV/0!</v>
      </c>
      <c r="AK23" s="203" t="e">
        <f>IF(SUM(AK8:AK21)&gt;AM23, AM23, SUM(AK8:AK21))</f>
        <v>#DIV/0!</v>
      </c>
      <c r="AL23" s="195" t="e">
        <f>AK23/AE23</f>
        <v>#DIV/0!</v>
      </c>
      <c r="AM23" s="207">
        <f>SUM(AM7:AM21)</f>
        <v>25.5</v>
      </c>
      <c r="AN23" s="259"/>
    </row>
    <row r="25" spans="1:40" x14ac:dyDescent="0.35">
      <c r="A25" s="505" t="s">
        <v>109</v>
      </c>
      <c r="B25" s="506"/>
      <c r="C25" s="506"/>
      <c r="D25" s="506"/>
      <c r="E25" s="506"/>
      <c r="F25" s="506"/>
      <c r="G25" s="341" t="s">
        <v>70</v>
      </c>
      <c r="H25" s="342"/>
      <c r="I25" s="343"/>
      <c r="J25" s="423" t="s">
        <v>71</v>
      </c>
      <c r="K25" s="424"/>
      <c r="L25" s="425"/>
      <c r="M25" s="417" t="s">
        <v>70</v>
      </c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335" t="s">
        <v>71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</row>
    <row r="26" spans="1:40" ht="29" x14ac:dyDescent="0.35">
      <c r="A26" s="292" t="s">
        <v>43</v>
      </c>
      <c r="B26" s="292" t="s">
        <v>44</v>
      </c>
      <c r="C26" s="292" t="s">
        <v>45</v>
      </c>
      <c r="D26" s="292" t="s">
        <v>70</v>
      </c>
      <c r="E26" s="64" t="s">
        <v>71</v>
      </c>
      <c r="F26" s="41" t="s">
        <v>2</v>
      </c>
      <c r="G26" s="41" t="s">
        <v>76</v>
      </c>
      <c r="H26" s="3" t="s">
        <v>63</v>
      </c>
      <c r="I26" s="3" t="s">
        <v>223</v>
      </c>
      <c r="J26" s="189" t="s">
        <v>76</v>
      </c>
      <c r="K26" s="3" t="s">
        <v>63</v>
      </c>
      <c r="L26" s="3" t="s">
        <v>223</v>
      </c>
      <c r="M26" s="292" t="s">
        <v>63</v>
      </c>
      <c r="N26" s="292" t="s">
        <v>64</v>
      </c>
      <c r="O26" s="292" t="s">
        <v>211</v>
      </c>
      <c r="P26" s="292" t="s">
        <v>227</v>
      </c>
      <c r="Q26" s="292" t="s">
        <v>218</v>
      </c>
      <c r="R26" s="24" t="s">
        <v>74</v>
      </c>
      <c r="S26" s="24" t="s">
        <v>75</v>
      </c>
      <c r="T26" s="37" t="s">
        <v>76</v>
      </c>
      <c r="U26" s="3" t="s">
        <v>81</v>
      </c>
      <c r="V26" s="41" t="s">
        <v>2</v>
      </c>
      <c r="W26" s="3" t="s">
        <v>78</v>
      </c>
      <c r="X26" s="3" t="s">
        <v>228</v>
      </c>
      <c r="Y26" s="292" t="s">
        <v>63</v>
      </c>
      <c r="Z26" s="292" t="s">
        <v>64</v>
      </c>
      <c r="AA26" s="292" t="s">
        <v>73</v>
      </c>
      <c r="AB26" s="292" t="s">
        <v>227</v>
      </c>
      <c r="AC26" s="292" t="s">
        <v>218</v>
      </c>
      <c r="AD26" s="24" t="s">
        <v>74</v>
      </c>
      <c r="AE26" s="24" t="s">
        <v>245</v>
      </c>
      <c r="AF26" s="189" t="s">
        <v>76</v>
      </c>
      <c r="AG26" s="3" t="s">
        <v>81</v>
      </c>
      <c r="AH26" s="41" t="s">
        <v>2</v>
      </c>
      <c r="AI26" s="3" t="s">
        <v>246</v>
      </c>
      <c r="AJ26" s="3" t="s">
        <v>79</v>
      </c>
      <c r="AK26" s="190" t="s">
        <v>247</v>
      </c>
      <c r="AL26" s="191" t="s">
        <v>248</v>
      </c>
      <c r="AM26" s="191" t="s">
        <v>251</v>
      </c>
      <c r="AN26" s="258" t="s">
        <v>252</v>
      </c>
    </row>
    <row r="27" spans="1:40" x14ac:dyDescent="0.35">
      <c r="A27" s="369">
        <v>1</v>
      </c>
      <c r="B27" s="474" t="s">
        <v>235</v>
      </c>
      <c r="C27" s="61" t="s">
        <v>84</v>
      </c>
      <c r="D27" s="315"/>
      <c r="E27" s="315"/>
      <c r="F27" s="48"/>
      <c r="G27" s="116"/>
      <c r="H27" s="119"/>
      <c r="I27" s="120"/>
      <c r="J27" s="48"/>
      <c r="K27" s="119"/>
      <c r="L27" s="120"/>
      <c r="M27" s="471">
        <v>16.5</v>
      </c>
      <c r="N27" s="472">
        <v>0.55000000000000004</v>
      </c>
      <c r="O27" s="473">
        <v>0.7</v>
      </c>
      <c r="P27" s="113"/>
      <c r="Q27" s="114"/>
      <c r="R27" s="115"/>
      <c r="S27" s="48"/>
      <c r="T27" s="116"/>
      <c r="U27" s="117"/>
      <c r="V27" s="118"/>
      <c r="W27" s="119"/>
      <c r="X27" s="120"/>
      <c r="Y27" s="458">
        <v>24.5</v>
      </c>
      <c r="Z27" s="461">
        <v>0.7</v>
      </c>
      <c r="AA27" s="208"/>
      <c r="AB27" s="114"/>
      <c r="AC27" s="114"/>
      <c r="AD27" s="115"/>
      <c r="AE27" s="48"/>
      <c r="AF27" s="48"/>
      <c r="AG27" s="209"/>
      <c r="AH27" s="210"/>
      <c r="AI27" s="119"/>
      <c r="AJ27" s="120"/>
      <c r="AK27" s="205"/>
      <c r="AL27" s="120"/>
      <c r="AM27" s="205"/>
      <c r="AN27" s="120"/>
    </row>
    <row r="28" spans="1:40" x14ac:dyDescent="0.35">
      <c r="A28" s="370"/>
      <c r="B28" s="475"/>
      <c r="C28" s="62" t="s">
        <v>85</v>
      </c>
      <c r="D28" s="316" t="s">
        <v>72</v>
      </c>
      <c r="E28" s="316" t="s">
        <v>72</v>
      </c>
      <c r="F28" s="50"/>
      <c r="G28" s="123">
        <f>T28</f>
        <v>0</v>
      </c>
      <c r="H28" s="45" t="e">
        <f>W28</f>
        <v>#DIV/0!</v>
      </c>
      <c r="I28" s="46" t="e">
        <f>X28</f>
        <v>#DIV/0!</v>
      </c>
      <c r="J28" s="212">
        <f>AF28</f>
        <v>0</v>
      </c>
      <c r="K28" s="45" t="e">
        <f>AI28</f>
        <v>#DIV/0!</v>
      </c>
      <c r="L28" s="195" t="e">
        <f>AJ28</f>
        <v>#DIV/0!</v>
      </c>
      <c r="M28" s="471"/>
      <c r="N28" s="472"/>
      <c r="O28" s="473"/>
      <c r="P28" s="121">
        <v>0.3</v>
      </c>
      <c r="Q28" s="290" t="s">
        <v>229</v>
      </c>
      <c r="R28" s="122">
        <v>2</v>
      </c>
      <c r="S28" s="150">
        <f>$M$27*$O$27*P28</f>
        <v>3.4649999999999994</v>
      </c>
      <c r="T28" s="123">
        <f>ROUNDUP(D2*R28,0)</f>
        <v>0</v>
      </c>
      <c r="U28" s="124" t="e">
        <f>S28/T28</f>
        <v>#DIV/0!</v>
      </c>
      <c r="V28" s="318">
        <f>F28</f>
        <v>0</v>
      </c>
      <c r="W28" s="45" t="e">
        <f>IF(V28/T28*S28&gt;S28*2,S28*2,V28/T28*S28)</f>
        <v>#DIV/0!</v>
      </c>
      <c r="X28" s="46" t="e">
        <f>W28/S28</f>
        <v>#DIV/0!</v>
      </c>
      <c r="Y28" s="459"/>
      <c r="Z28" s="462"/>
      <c r="AA28" s="445">
        <v>0.3</v>
      </c>
      <c r="AB28" s="211">
        <v>0.7</v>
      </c>
      <c r="AC28" s="290" t="s">
        <v>229</v>
      </c>
      <c r="AD28" s="138">
        <v>3</v>
      </c>
      <c r="AE28" s="93">
        <f>Y27*AA28*AB28</f>
        <v>5.1449999999999996</v>
      </c>
      <c r="AF28" s="212">
        <f>$D$2*AD28</f>
        <v>0</v>
      </c>
      <c r="AG28" s="213" t="e">
        <f>AE28/AF28</f>
        <v>#DIV/0!</v>
      </c>
      <c r="AH28" s="318">
        <f>F28</f>
        <v>0</v>
      </c>
      <c r="AI28" s="45" t="e">
        <f>IF(AH28/AF28*AE28&gt;AE28*2,AE28*2,AH28/AF28*AE28)</f>
        <v>#DIV/0!</v>
      </c>
      <c r="AJ28" s="195" t="e">
        <f>AI28/AE28</f>
        <v>#DIV/0!</v>
      </c>
      <c r="AK28" s="196" t="e">
        <f>AH28/AF28*AE28</f>
        <v>#DIV/0!</v>
      </c>
      <c r="AL28" s="195" t="e">
        <f>AK28/AE28</f>
        <v>#DIV/0!</v>
      </c>
      <c r="AM28" s="196">
        <f>AE28*2</f>
        <v>10.29</v>
      </c>
      <c r="AN28" s="110"/>
    </row>
    <row r="29" spans="1:40" x14ac:dyDescent="0.35">
      <c r="A29" s="370"/>
      <c r="B29" s="475"/>
      <c r="C29" s="62" t="s">
        <v>86</v>
      </c>
      <c r="D29" s="316" t="s">
        <v>72</v>
      </c>
      <c r="E29" s="316" t="s">
        <v>72</v>
      </c>
      <c r="F29" s="50"/>
      <c r="G29" s="123">
        <f>T29</f>
        <v>0</v>
      </c>
      <c r="H29" s="45" t="e">
        <f>W29</f>
        <v>#DIV/0!</v>
      </c>
      <c r="I29" s="46" t="e">
        <f>X29</f>
        <v>#DIV/0!</v>
      </c>
      <c r="J29" s="215">
        <f>AF29</f>
        <v>0</v>
      </c>
      <c r="K29" s="45" t="e">
        <f>AI29</f>
        <v>#DIV/0!</v>
      </c>
      <c r="L29" s="195" t="e">
        <f>AJ29</f>
        <v>#DIV/0!</v>
      </c>
      <c r="M29" s="471"/>
      <c r="N29" s="472"/>
      <c r="O29" s="473"/>
      <c r="P29" s="121">
        <v>0.05</v>
      </c>
      <c r="Q29" s="290" t="s">
        <v>229</v>
      </c>
      <c r="R29" s="122">
        <v>0.5</v>
      </c>
      <c r="S29" s="93">
        <f>$M$27*$O$27*P29</f>
        <v>0.57750000000000001</v>
      </c>
      <c r="T29" s="123">
        <f>ROUNDUP(R29*D2,0)</f>
        <v>0</v>
      </c>
      <c r="U29" s="125" t="e">
        <f>S29/T29</f>
        <v>#DIV/0!</v>
      </c>
      <c r="V29" s="318">
        <f>F29</f>
        <v>0</v>
      </c>
      <c r="W29" s="45" t="e">
        <f>IF(V29/T29*S29&gt;S29*2,S29*2,V29/T29*S29)</f>
        <v>#DIV/0!</v>
      </c>
      <c r="X29" s="46" t="e">
        <f t="shared" ref="X29:X52" si="28">W29/S29</f>
        <v>#DIV/0!</v>
      </c>
      <c r="Y29" s="459"/>
      <c r="Z29" s="462"/>
      <c r="AA29" s="446"/>
      <c r="AB29" s="211">
        <v>0.05</v>
      </c>
      <c r="AC29" s="290" t="s">
        <v>229</v>
      </c>
      <c r="AD29" s="214">
        <v>0.5</v>
      </c>
      <c r="AE29" s="93">
        <f>Y27*AA28*AB29</f>
        <v>0.36749999999999999</v>
      </c>
      <c r="AF29" s="215">
        <f>AD29*$D$2</f>
        <v>0</v>
      </c>
      <c r="AG29" s="185" t="e">
        <f>AE29/AF29</f>
        <v>#DIV/0!</v>
      </c>
      <c r="AH29" s="318">
        <f>F29</f>
        <v>0</v>
      </c>
      <c r="AI29" s="45" t="e">
        <f>IF(AH29/AF29*AE29&gt;AE29*2,AE29*2,AH29/AF29*AE29)</f>
        <v>#DIV/0!</v>
      </c>
      <c r="AJ29" s="195" t="e">
        <f t="shared" ref="AJ29:AJ52" si="29">AI29/AE29</f>
        <v>#DIV/0!</v>
      </c>
      <c r="AK29" s="196" t="e">
        <f>AH29/AF29*AE29</f>
        <v>#DIV/0!</v>
      </c>
      <c r="AL29" s="195" t="e">
        <f>AK29/AE29</f>
        <v>#DIV/0!</v>
      </c>
      <c r="AM29" s="196">
        <f>AE29*2</f>
        <v>0.73499999999999999</v>
      </c>
      <c r="AN29" s="110"/>
    </row>
    <row r="30" spans="1:40" x14ac:dyDescent="0.35">
      <c r="A30" s="370"/>
      <c r="B30" s="475"/>
      <c r="C30" s="62" t="s">
        <v>87</v>
      </c>
      <c r="D30" s="315"/>
      <c r="E30" s="315"/>
      <c r="F30" s="48"/>
      <c r="G30" s="129"/>
      <c r="H30" s="119"/>
      <c r="I30" s="120"/>
      <c r="J30" s="42"/>
      <c r="K30" s="119"/>
      <c r="L30" s="120"/>
      <c r="M30" s="471"/>
      <c r="N30" s="472"/>
      <c r="O30" s="473"/>
      <c r="P30" s="126"/>
      <c r="Q30" s="127"/>
      <c r="R30" s="128"/>
      <c r="S30" s="48"/>
      <c r="T30" s="129"/>
      <c r="U30" s="117"/>
      <c r="V30" s="48"/>
      <c r="W30" s="119"/>
      <c r="X30" s="120"/>
      <c r="Y30" s="459"/>
      <c r="Z30" s="462"/>
      <c r="AA30" s="446"/>
      <c r="AB30" s="216"/>
      <c r="AC30" s="127"/>
      <c r="AD30" s="115"/>
      <c r="AE30" s="48"/>
      <c r="AF30" s="42"/>
      <c r="AG30" s="209"/>
      <c r="AH30" s="48"/>
      <c r="AI30" s="119"/>
      <c r="AJ30" s="120"/>
      <c r="AK30" s="192"/>
      <c r="AL30" s="120"/>
      <c r="AM30" s="192"/>
      <c r="AN30" s="120"/>
    </row>
    <row r="31" spans="1:40" ht="29" x14ac:dyDescent="0.35">
      <c r="A31" s="370"/>
      <c r="B31" s="475"/>
      <c r="C31" s="63" t="s">
        <v>88</v>
      </c>
      <c r="D31" s="316" t="s">
        <v>72</v>
      </c>
      <c r="E31" s="316" t="s">
        <v>72</v>
      </c>
      <c r="F31" s="50"/>
      <c r="G31" s="123">
        <f>T31</f>
        <v>0</v>
      </c>
      <c r="H31" s="130" t="e">
        <f t="shared" ref="H31:I33" si="30">W31</f>
        <v>#DIV/0!</v>
      </c>
      <c r="I31" s="46" t="e">
        <f t="shared" si="30"/>
        <v>#DIV/0!</v>
      </c>
      <c r="J31" s="212">
        <f>AF31</f>
        <v>0</v>
      </c>
      <c r="K31" s="45" t="e">
        <f t="shared" ref="K31:L33" si="31">AI31</f>
        <v>#DIV/0!</v>
      </c>
      <c r="L31" s="195" t="e">
        <f t="shared" si="31"/>
        <v>#DIV/0!</v>
      </c>
      <c r="M31" s="471"/>
      <c r="N31" s="472"/>
      <c r="O31" s="473"/>
      <c r="P31" s="121">
        <v>0.09</v>
      </c>
      <c r="Q31" s="290" t="s">
        <v>229</v>
      </c>
      <c r="R31" s="122">
        <v>0.3</v>
      </c>
      <c r="S31" s="93">
        <f>$M$27*$O$27*P31</f>
        <v>1.0394999999999999</v>
      </c>
      <c r="T31" s="123">
        <f>ROUNDUP(R31*D2,0)</f>
        <v>0</v>
      </c>
      <c r="U31" s="125" t="e">
        <f>S31/T31</f>
        <v>#DIV/0!</v>
      </c>
      <c r="V31" s="318">
        <f>F31</f>
        <v>0</v>
      </c>
      <c r="W31" s="130" t="e">
        <f>IF(V31/T31*S31&gt;S31*2,S31*2,V31/T31*S31)</f>
        <v>#DIV/0!</v>
      </c>
      <c r="X31" s="46" t="e">
        <f t="shared" si="28"/>
        <v>#DIV/0!</v>
      </c>
      <c r="Y31" s="459"/>
      <c r="Z31" s="462"/>
      <c r="AA31" s="446"/>
      <c r="AB31" s="211">
        <v>0.1</v>
      </c>
      <c r="AC31" s="290" t="s">
        <v>230</v>
      </c>
      <c r="AD31" s="214">
        <v>0.3</v>
      </c>
      <c r="AE31" s="93">
        <f>Y27*AA28*AB31</f>
        <v>0.73499999999999999</v>
      </c>
      <c r="AF31" s="212">
        <f>AD31*$D$2</f>
        <v>0</v>
      </c>
      <c r="AG31" s="185" t="e">
        <f>AE31/AF31</f>
        <v>#DIV/0!</v>
      </c>
      <c r="AH31" s="318">
        <f>F31</f>
        <v>0</v>
      </c>
      <c r="AI31" s="45" t="e">
        <f>IF(AH31/AF31*AE31&gt;AE31*2,AE31*2,AH31/AF31*AE31)</f>
        <v>#DIV/0!</v>
      </c>
      <c r="AJ31" s="195" t="e">
        <f t="shared" si="29"/>
        <v>#DIV/0!</v>
      </c>
      <c r="AK31" s="196" t="e">
        <f>AH31/AF31*AE31</f>
        <v>#DIV/0!</v>
      </c>
      <c r="AL31" s="195" t="e">
        <f t="shared" ref="AL31:AL43" si="32">AK31/AE31</f>
        <v>#DIV/0!</v>
      </c>
      <c r="AM31" s="196">
        <f t="shared" ref="AM31:AM43" si="33">AE31*2</f>
        <v>1.47</v>
      </c>
      <c r="AN31" s="110"/>
    </row>
    <row r="32" spans="1:40" ht="29" x14ac:dyDescent="0.35">
      <c r="A32" s="370"/>
      <c r="B32" s="475"/>
      <c r="C32" s="63" t="s">
        <v>89</v>
      </c>
      <c r="D32" s="316" t="s">
        <v>72</v>
      </c>
      <c r="E32" s="316" t="s">
        <v>72</v>
      </c>
      <c r="F32" s="50"/>
      <c r="G32" s="123">
        <f>T32</f>
        <v>0</v>
      </c>
      <c r="H32" s="45" t="e">
        <f t="shared" si="30"/>
        <v>#DIV/0!</v>
      </c>
      <c r="I32" s="46" t="e">
        <f t="shared" si="30"/>
        <v>#DIV/0!</v>
      </c>
      <c r="J32" s="212">
        <f>AF32</f>
        <v>0</v>
      </c>
      <c r="K32" s="45" t="e">
        <f t="shared" si="31"/>
        <v>#DIV/0!</v>
      </c>
      <c r="L32" s="195" t="e">
        <f t="shared" si="31"/>
        <v>#DIV/0!</v>
      </c>
      <c r="M32" s="471"/>
      <c r="N32" s="472"/>
      <c r="O32" s="473"/>
      <c r="P32" s="121">
        <v>0.09</v>
      </c>
      <c r="Q32" s="290" t="s">
        <v>229</v>
      </c>
      <c r="R32" s="122">
        <v>0.3</v>
      </c>
      <c r="S32" s="93">
        <f>$M$27*$O$27*P32</f>
        <v>1.0394999999999999</v>
      </c>
      <c r="T32" s="123">
        <f>ROUNDUP(R32*D2,0)</f>
        <v>0</v>
      </c>
      <c r="U32" s="124" t="e">
        <f>S32/T32</f>
        <v>#DIV/0!</v>
      </c>
      <c r="V32" s="318">
        <f>F32</f>
        <v>0</v>
      </c>
      <c r="W32" s="45" t="e">
        <f>IF(V32/T32*S32&gt;S32*2,S32*2,V32/T32*S32)</f>
        <v>#DIV/0!</v>
      </c>
      <c r="X32" s="46" t="e">
        <f t="shared" si="28"/>
        <v>#DIV/0!</v>
      </c>
      <c r="Y32" s="459"/>
      <c r="Z32" s="462"/>
      <c r="AA32" s="446"/>
      <c r="AB32" s="211">
        <v>0.1</v>
      </c>
      <c r="AC32" s="290" t="s">
        <v>230</v>
      </c>
      <c r="AD32" s="217">
        <v>0.3</v>
      </c>
      <c r="AE32" s="93">
        <f>Y27*AB32*AA28</f>
        <v>0.73499999999999999</v>
      </c>
      <c r="AF32" s="212">
        <f>AD32*$D$2</f>
        <v>0</v>
      </c>
      <c r="AG32" s="213" t="e">
        <f>AE32/AF32</f>
        <v>#DIV/0!</v>
      </c>
      <c r="AH32" s="318">
        <f>F32</f>
        <v>0</v>
      </c>
      <c r="AI32" s="45" t="e">
        <f>IF(AH32/AF32*AE32&gt;AE32*2,AE32*2,AH32/AF32*AE32)</f>
        <v>#DIV/0!</v>
      </c>
      <c r="AJ32" s="195" t="e">
        <f t="shared" si="29"/>
        <v>#DIV/0!</v>
      </c>
      <c r="AK32" s="196" t="e">
        <f>AH32/AF32*AE32</f>
        <v>#DIV/0!</v>
      </c>
      <c r="AL32" s="195" t="e">
        <f t="shared" si="32"/>
        <v>#DIV/0!</v>
      </c>
      <c r="AM32" s="196">
        <f t="shared" si="33"/>
        <v>1.47</v>
      </c>
      <c r="AN32" s="110"/>
    </row>
    <row r="33" spans="1:40" ht="29" x14ac:dyDescent="0.35">
      <c r="A33" s="370"/>
      <c r="B33" s="475"/>
      <c r="C33" s="63" t="s">
        <v>90</v>
      </c>
      <c r="D33" s="316" t="s">
        <v>72</v>
      </c>
      <c r="E33" s="316" t="s">
        <v>72</v>
      </c>
      <c r="F33" s="50"/>
      <c r="G33" s="123">
        <f>T33</f>
        <v>0</v>
      </c>
      <c r="H33" s="45" t="e">
        <f t="shared" si="30"/>
        <v>#DIV/0!</v>
      </c>
      <c r="I33" s="46" t="e">
        <f t="shared" si="30"/>
        <v>#DIV/0!</v>
      </c>
      <c r="J33" s="212">
        <f>AF33</f>
        <v>0</v>
      </c>
      <c r="K33" s="45" t="e">
        <f t="shared" si="31"/>
        <v>#DIV/0!</v>
      </c>
      <c r="L33" s="195" t="e">
        <f t="shared" si="31"/>
        <v>#DIV/0!</v>
      </c>
      <c r="M33" s="471"/>
      <c r="N33" s="472"/>
      <c r="O33" s="473"/>
      <c r="P33" s="121">
        <v>7.0000000000000007E-2</v>
      </c>
      <c r="Q33" s="290" t="s">
        <v>229</v>
      </c>
      <c r="R33" s="122">
        <v>0.3</v>
      </c>
      <c r="S33" s="93">
        <f>$M$27*$O$27*P33</f>
        <v>0.8085</v>
      </c>
      <c r="T33" s="123">
        <f>ROUNDUP(R33*D2,0)</f>
        <v>0</v>
      </c>
      <c r="U33" s="125" t="e">
        <f>S33/T33</f>
        <v>#DIV/0!</v>
      </c>
      <c r="V33" s="318">
        <f>F33</f>
        <v>0</v>
      </c>
      <c r="W33" s="45" t="e">
        <f>IF(V33/T33*S33&gt;S33*2,S33*2,V33/T33*S33)</f>
        <v>#DIV/0!</v>
      </c>
      <c r="X33" s="46" t="e">
        <f t="shared" si="28"/>
        <v>#DIV/0!</v>
      </c>
      <c r="Y33" s="459"/>
      <c r="Z33" s="462"/>
      <c r="AA33" s="447"/>
      <c r="AB33" s="211">
        <v>0.05</v>
      </c>
      <c r="AC33" s="290" t="s">
        <v>230</v>
      </c>
      <c r="AD33" s="217">
        <v>0.3</v>
      </c>
      <c r="AE33" s="93">
        <f>Y27*AA28*AB33</f>
        <v>0.36749999999999999</v>
      </c>
      <c r="AF33" s="212">
        <f>AD33*$D$2</f>
        <v>0</v>
      </c>
      <c r="AG33" s="185" t="e">
        <f>AE33/AF33</f>
        <v>#DIV/0!</v>
      </c>
      <c r="AH33" s="318">
        <f>F33</f>
        <v>0</v>
      </c>
      <c r="AI33" s="45" t="e">
        <f>IF(AH33/AF33*AE33&gt;AE33*2,AE33*2,AH33/AF33*AE33)</f>
        <v>#DIV/0!</v>
      </c>
      <c r="AJ33" s="195" t="e">
        <f t="shared" si="29"/>
        <v>#DIV/0!</v>
      </c>
      <c r="AK33" s="196" t="e">
        <f>AH33/AF33*AE33</f>
        <v>#DIV/0!</v>
      </c>
      <c r="AL33" s="195" t="e">
        <f t="shared" si="32"/>
        <v>#DIV/0!</v>
      </c>
      <c r="AM33" s="196">
        <f t="shared" si="33"/>
        <v>0.73499999999999999</v>
      </c>
      <c r="AN33" s="110"/>
    </row>
    <row r="34" spans="1:40" x14ac:dyDescent="0.35">
      <c r="A34" s="370"/>
      <c r="B34" s="475"/>
      <c r="C34" s="61" t="s">
        <v>91</v>
      </c>
      <c r="D34" s="315"/>
      <c r="E34" s="315"/>
      <c r="F34" s="48"/>
      <c r="G34" s="42"/>
      <c r="H34" s="119"/>
      <c r="I34" s="120"/>
      <c r="J34" s="42"/>
      <c r="K34" s="119"/>
      <c r="L34" s="120"/>
      <c r="M34" s="471"/>
      <c r="N34" s="472"/>
      <c r="O34" s="473"/>
      <c r="P34" s="126"/>
      <c r="Q34" s="127"/>
      <c r="R34" s="128"/>
      <c r="S34" s="48"/>
      <c r="T34" s="42"/>
      <c r="U34" s="117"/>
      <c r="V34" s="48"/>
      <c r="W34" s="119"/>
      <c r="X34" s="120"/>
      <c r="Y34" s="459"/>
      <c r="Z34" s="462"/>
      <c r="AA34" s="208"/>
      <c r="AB34" s="114"/>
      <c r="AC34" s="114"/>
      <c r="AD34" s="115"/>
      <c r="AE34" s="48"/>
      <c r="AF34" s="42"/>
      <c r="AG34" s="209"/>
      <c r="AH34" s="48"/>
      <c r="AI34" s="119"/>
      <c r="AJ34" s="120"/>
      <c r="AK34" s="192"/>
      <c r="AL34" s="120"/>
      <c r="AM34" s="192"/>
      <c r="AN34" s="120"/>
    </row>
    <row r="35" spans="1:40" x14ac:dyDescent="0.35">
      <c r="A35" s="370"/>
      <c r="B35" s="475"/>
      <c r="C35" s="62" t="s">
        <v>92</v>
      </c>
      <c r="D35" s="316" t="s">
        <v>72</v>
      </c>
      <c r="E35" s="316" t="s">
        <v>72</v>
      </c>
      <c r="F35" s="50"/>
      <c r="G35" s="131">
        <f>T35</f>
        <v>0</v>
      </c>
      <c r="H35" s="45" t="e">
        <f>W35</f>
        <v>#DIV/0!</v>
      </c>
      <c r="I35" s="46" t="e">
        <f>X35</f>
        <v>#DIV/0!</v>
      </c>
      <c r="J35" s="218">
        <f>AF35</f>
        <v>0</v>
      </c>
      <c r="K35" s="45" t="e">
        <f>AI35</f>
        <v>#DIV/0!</v>
      </c>
      <c r="L35" s="195" t="e">
        <f>AJ35</f>
        <v>#DIV/0!</v>
      </c>
      <c r="M35" s="471"/>
      <c r="N35" s="472"/>
      <c r="O35" s="473"/>
      <c r="P35" s="295">
        <v>0.4</v>
      </c>
      <c r="Q35" s="290" t="s">
        <v>234</v>
      </c>
      <c r="R35" s="33">
        <v>10000</v>
      </c>
      <c r="S35" s="93">
        <f>$M$27*$O$27*P35</f>
        <v>4.62</v>
      </c>
      <c r="T35" s="131">
        <f>ROUNDUP(R35*D2/1500,0)</f>
        <v>0</v>
      </c>
      <c r="U35" s="125">
        <f>S35/R35</f>
        <v>4.6200000000000001E-4</v>
      </c>
      <c r="V35" s="318">
        <f>F35</f>
        <v>0</v>
      </c>
      <c r="W35" s="45" t="e">
        <f>IF(V35/T35*S35&gt;S35*2,S35*2,V35/T35*S35)</f>
        <v>#DIV/0!</v>
      </c>
      <c r="X35" s="46" t="e">
        <f t="shared" si="28"/>
        <v>#DIV/0!</v>
      </c>
      <c r="Y35" s="459"/>
      <c r="Z35" s="462"/>
      <c r="AA35" s="372">
        <v>0.5</v>
      </c>
      <c r="AB35" s="285">
        <v>0.5</v>
      </c>
      <c r="AC35" s="290" t="s">
        <v>43</v>
      </c>
      <c r="AD35" s="138">
        <v>100000</v>
      </c>
      <c r="AE35" s="93">
        <f>Y27*AA35*AB35</f>
        <v>6.125</v>
      </c>
      <c r="AF35" s="218">
        <f>AD35*D2/1500</f>
        <v>0</v>
      </c>
      <c r="AG35" s="185">
        <f>AE35/AD35</f>
        <v>6.1249999999999998E-5</v>
      </c>
      <c r="AH35" s="320">
        <f>F35</f>
        <v>0</v>
      </c>
      <c r="AI35" s="45" t="e">
        <f>IF(AH35/AF35*AE35&gt;AE35*2,AE35*2,AH35/AF35*AE35)</f>
        <v>#DIV/0!</v>
      </c>
      <c r="AJ35" s="195" t="e">
        <f t="shared" si="29"/>
        <v>#DIV/0!</v>
      </c>
      <c r="AK35" s="196" t="e">
        <f>AH35/AF35*AE35</f>
        <v>#DIV/0!</v>
      </c>
      <c r="AL35" s="195" t="e">
        <f t="shared" si="32"/>
        <v>#DIV/0!</v>
      </c>
      <c r="AM35" s="196">
        <f t="shared" si="33"/>
        <v>12.25</v>
      </c>
      <c r="AN35" s="110"/>
    </row>
    <row r="36" spans="1:40" x14ac:dyDescent="0.35">
      <c r="A36" s="370"/>
      <c r="B36" s="475"/>
      <c r="C36" s="62" t="s">
        <v>93</v>
      </c>
      <c r="D36" s="316" t="s">
        <v>43</v>
      </c>
      <c r="E36" s="316" t="s">
        <v>72</v>
      </c>
      <c r="F36" s="50"/>
      <c r="G36" s="154"/>
      <c r="H36" s="119"/>
      <c r="I36" s="120"/>
      <c r="J36" s="42"/>
      <c r="K36" s="119"/>
      <c r="L36" s="120"/>
      <c r="M36" s="471"/>
      <c r="N36" s="472"/>
      <c r="O36" s="151"/>
      <c r="P36" s="152"/>
      <c r="Q36" s="127"/>
      <c r="R36" s="153"/>
      <c r="S36" s="48"/>
      <c r="T36" s="154"/>
      <c r="U36" s="117"/>
      <c r="V36" s="48">
        <f>F36</f>
        <v>0</v>
      </c>
      <c r="W36" s="119"/>
      <c r="X36" s="120"/>
      <c r="Y36" s="459"/>
      <c r="Z36" s="462"/>
      <c r="AA36" s="418"/>
      <c r="AB36" s="114"/>
      <c r="AC36" s="127"/>
      <c r="AD36" s="134"/>
      <c r="AE36" s="48"/>
      <c r="AF36" s="42"/>
      <c r="AG36" s="209"/>
      <c r="AH36" s="318">
        <f>F36</f>
        <v>0</v>
      </c>
      <c r="AI36" s="119"/>
      <c r="AJ36" s="120"/>
      <c r="AK36" s="192"/>
      <c r="AL36" s="120"/>
      <c r="AM36" s="192"/>
      <c r="AN36" s="120"/>
    </row>
    <row r="37" spans="1:40" x14ac:dyDescent="0.35">
      <c r="A37" s="370"/>
      <c r="B37" s="475"/>
      <c r="C37" s="62" t="s">
        <v>94</v>
      </c>
      <c r="D37" s="316" t="s">
        <v>43</v>
      </c>
      <c r="E37" s="316" t="s">
        <v>72</v>
      </c>
      <c r="F37" s="48">
        <f>F36</f>
        <v>0</v>
      </c>
      <c r="G37" s="154"/>
      <c r="H37" s="119"/>
      <c r="I37" s="120"/>
      <c r="J37" s="212">
        <f>AF37</f>
        <v>0</v>
      </c>
      <c r="K37" s="45" t="e">
        <f>AI37</f>
        <v>#DIV/0!</v>
      </c>
      <c r="L37" s="195" t="e">
        <f>AJ37</f>
        <v>#DIV/0!</v>
      </c>
      <c r="M37" s="471"/>
      <c r="N37" s="472"/>
      <c r="O37" s="151"/>
      <c r="P37" s="152"/>
      <c r="Q37" s="127"/>
      <c r="R37" s="153"/>
      <c r="S37" s="48"/>
      <c r="T37" s="154"/>
      <c r="U37" s="117"/>
      <c r="V37" s="48"/>
      <c r="W37" s="119"/>
      <c r="X37" s="120"/>
      <c r="Y37" s="459"/>
      <c r="Z37" s="462"/>
      <c r="AA37" s="373"/>
      <c r="AB37" s="285">
        <v>0.5</v>
      </c>
      <c r="AC37" s="290" t="s">
        <v>243</v>
      </c>
      <c r="AD37" s="219">
        <v>0.7</v>
      </c>
      <c r="AE37" s="93">
        <f>Y27*AA35*AB37</f>
        <v>6.125</v>
      </c>
      <c r="AF37" s="212">
        <f>AD37*AH28</f>
        <v>0</v>
      </c>
      <c r="AG37" s="185" t="e">
        <f>AE37/AF37</f>
        <v>#DIV/0!</v>
      </c>
      <c r="AH37" s="48">
        <f>F37</f>
        <v>0</v>
      </c>
      <c r="AI37" s="45" t="e">
        <f>IF(AH37/AF37*AE37&gt;AE37*2,AE37*2,AH37/AF37*AE37)</f>
        <v>#DIV/0!</v>
      </c>
      <c r="AJ37" s="195" t="e">
        <f>AI37/AE37</f>
        <v>#DIV/0!</v>
      </c>
      <c r="AK37" s="196" t="e">
        <f>AH37/AF37*AE37</f>
        <v>#DIV/0!</v>
      </c>
      <c r="AL37" s="195" t="e">
        <f t="shared" si="32"/>
        <v>#DIV/0!</v>
      </c>
      <c r="AM37" s="196">
        <f t="shared" si="33"/>
        <v>12.25</v>
      </c>
      <c r="AN37" s="110"/>
    </row>
    <row r="38" spans="1:40" x14ac:dyDescent="0.35">
      <c r="A38" s="370"/>
      <c r="B38" s="475"/>
      <c r="C38" s="7" t="s">
        <v>95</v>
      </c>
      <c r="D38" s="316" t="s">
        <v>72</v>
      </c>
      <c r="E38" s="316" t="s">
        <v>72</v>
      </c>
      <c r="F38" s="50"/>
      <c r="G38" s="123">
        <f>T38</f>
        <v>0</v>
      </c>
      <c r="H38" s="45" t="e">
        <f>W38</f>
        <v>#DIV/0!</v>
      </c>
      <c r="I38" s="46" t="e">
        <f>X38</f>
        <v>#DIV/0!</v>
      </c>
      <c r="J38" s="212">
        <f>AF38</f>
        <v>0</v>
      </c>
      <c r="K38" s="45" t="e">
        <f>AI38</f>
        <v>#DIV/0!</v>
      </c>
      <c r="L38" s="195" t="e">
        <f>AJ38</f>
        <v>#DIV/0!</v>
      </c>
      <c r="M38" s="471"/>
      <c r="N38" s="472"/>
      <c r="O38" s="295">
        <v>0.15</v>
      </c>
      <c r="P38" s="297" t="s">
        <v>231</v>
      </c>
      <c r="Q38" s="290" t="s">
        <v>229</v>
      </c>
      <c r="R38" s="122">
        <v>2</v>
      </c>
      <c r="S38" s="93">
        <f>M27*O38</f>
        <v>2.4750000000000001</v>
      </c>
      <c r="T38" s="123">
        <f>ROUNDUP(R38*D2,0)</f>
        <v>0</v>
      </c>
      <c r="U38" s="125" t="e">
        <f>S38/T38</f>
        <v>#DIV/0!</v>
      </c>
      <c r="V38" s="318">
        <f>F38</f>
        <v>0</v>
      </c>
      <c r="W38" s="45" t="e">
        <f>IF(V38/T38*S38&gt;S38*2,S38*2,V38/T38*S38)</f>
        <v>#DIV/0!</v>
      </c>
      <c r="X38" s="46" t="e">
        <f t="shared" si="28"/>
        <v>#DIV/0!</v>
      </c>
      <c r="Y38" s="459"/>
      <c r="Z38" s="462"/>
      <c r="AA38" s="285">
        <v>0.05</v>
      </c>
      <c r="AB38" s="284" t="s">
        <v>231</v>
      </c>
      <c r="AC38" s="290" t="s">
        <v>229</v>
      </c>
      <c r="AD38" s="214">
        <v>2</v>
      </c>
      <c r="AE38" s="93">
        <f>Y27*AA38</f>
        <v>1.2250000000000001</v>
      </c>
      <c r="AF38" s="212">
        <f>AD38*$D$2</f>
        <v>0</v>
      </c>
      <c r="AG38" s="185" t="e">
        <f>AE38/AF38</f>
        <v>#DIV/0!</v>
      </c>
      <c r="AH38" s="318">
        <f>F38</f>
        <v>0</v>
      </c>
      <c r="AI38" s="45" t="e">
        <f>IF(AH38/AF38*AE38&gt;AE38*2,AE38*2,AH38/AF38*AE38)</f>
        <v>#DIV/0!</v>
      </c>
      <c r="AJ38" s="195" t="e">
        <f t="shared" si="29"/>
        <v>#DIV/0!</v>
      </c>
      <c r="AK38" s="196" t="e">
        <f>AH38/AF38*AE38</f>
        <v>#DIV/0!</v>
      </c>
      <c r="AL38" s="195" t="e">
        <f t="shared" si="32"/>
        <v>#DIV/0!</v>
      </c>
      <c r="AM38" s="196">
        <f t="shared" si="33"/>
        <v>2.4500000000000002</v>
      </c>
      <c r="AN38" s="110"/>
    </row>
    <row r="39" spans="1:40" x14ac:dyDescent="0.35">
      <c r="A39" s="370"/>
      <c r="B39" s="475"/>
      <c r="C39" s="7" t="s">
        <v>96</v>
      </c>
      <c r="D39" s="315"/>
      <c r="E39" s="315"/>
      <c r="F39" s="48"/>
      <c r="G39" s="129"/>
      <c r="H39" s="119"/>
      <c r="I39" s="120"/>
      <c r="J39" s="42"/>
      <c r="K39" s="119"/>
      <c r="L39" s="120"/>
      <c r="M39" s="471"/>
      <c r="N39" s="472"/>
      <c r="O39" s="132" t="s">
        <v>231</v>
      </c>
      <c r="P39" s="113"/>
      <c r="Q39" s="133"/>
      <c r="R39" s="113"/>
      <c r="S39" s="48"/>
      <c r="T39" s="129"/>
      <c r="U39" s="117"/>
      <c r="V39" s="48"/>
      <c r="W39" s="119"/>
      <c r="X39" s="120"/>
      <c r="Y39" s="459"/>
      <c r="Z39" s="462"/>
      <c r="AA39" s="133"/>
      <c r="AB39" s="133"/>
      <c r="AC39" s="133"/>
      <c r="AD39" s="133"/>
      <c r="AE39" s="48"/>
      <c r="AF39" s="42"/>
      <c r="AG39" s="209"/>
      <c r="AH39" s="48"/>
      <c r="AI39" s="119"/>
      <c r="AJ39" s="120"/>
      <c r="AK39" s="192"/>
      <c r="AL39" s="120"/>
      <c r="AM39" s="192"/>
      <c r="AN39" s="120"/>
    </row>
    <row r="40" spans="1:40" x14ac:dyDescent="0.35">
      <c r="A40" s="370"/>
      <c r="B40" s="475"/>
      <c r="C40" s="62" t="s">
        <v>97</v>
      </c>
      <c r="D40" s="316" t="s">
        <v>72</v>
      </c>
      <c r="E40" s="316" t="s">
        <v>72</v>
      </c>
      <c r="F40" s="50"/>
      <c r="G40" s="123">
        <f>T40</f>
        <v>0</v>
      </c>
      <c r="H40" s="45" t="e">
        <f t="shared" ref="H40:I43" si="34">W40</f>
        <v>#DIV/0!</v>
      </c>
      <c r="I40" s="46" t="e">
        <f t="shared" si="34"/>
        <v>#DIV/0!</v>
      </c>
      <c r="J40" s="212">
        <f>AF40</f>
        <v>0</v>
      </c>
      <c r="K40" s="45" t="e">
        <f t="shared" ref="K40:L43" si="35">AI40</f>
        <v>#DIV/0!</v>
      </c>
      <c r="L40" s="195" t="e">
        <f t="shared" si="35"/>
        <v>#DIV/0!</v>
      </c>
      <c r="M40" s="471"/>
      <c r="N40" s="472"/>
      <c r="O40" s="443">
        <v>0.1</v>
      </c>
      <c r="P40" s="295">
        <v>0.6</v>
      </c>
      <c r="Q40" s="290" t="s">
        <v>229</v>
      </c>
      <c r="R40" s="122">
        <v>0.2</v>
      </c>
      <c r="S40" s="93">
        <f>M27*O40*P40</f>
        <v>0.99</v>
      </c>
      <c r="T40" s="123">
        <f>ROUNDUP(R40*D2,0)</f>
        <v>0</v>
      </c>
      <c r="U40" s="125" t="e">
        <f>S40/T40</f>
        <v>#DIV/0!</v>
      </c>
      <c r="V40" s="318">
        <f>F40</f>
        <v>0</v>
      </c>
      <c r="W40" s="45" t="e">
        <f>IF(V40/T40*S40&gt;S40*2,S40*2,V40/T40*S40)</f>
        <v>#DIV/0!</v>
      </c>
      <c r="X40" s="46" t="e">
        <f t="shared" si="28"/>
        <v>#DIV/0!</v>
      </c>
      <c r="Y40" s="459"/>
      <c r="Z40" s="462"/>
      <c r="AA40" s="372">
        <v>0.1</v>
      </c>
      <c r="AB40" s="285">
        <v>0.6</v>
      </c>
      <c r="AC40" s="290" t="s">
        <v>229</v>
      </c>
      <c r="AD40" s="214">
        <v>0.2</v>
      </c>
      <c r="AE40" s="93">
        <f>Y27*AA40*AB40</f>
        <v>1.47</v>
      </c>
      <c r="AF40" s="212">
        <f>AD40*$D$2</f>
        <v>0</v>
      </c>
      <c r="AG40" s="185" t="e">
        <f>AE40/AF40</f>
        <v>#DIV/0!</v>
      </c>
      <c r="AH40" s="318">
        <f>F40</f>
        <v>0</v>
      </c>
      <c r="AI40" s="45" t="e">
        <f>IF(AH40/AF40*AE40&gt;AE40*2,AE40*2,AH40/AF40*AE40)</f>
        <v>#DIV/0!</v>
      </c>
      <c r="AJ40" s="195" t="e">
        <f t="shared" si="29"/>
        <v>#DIV/0!</v>
      </c>
      <c r="AK40" s="196" t="e">
        <f>AH40/AF40*AE40</f>
        <v>#DIV/0!</v>
      </c>
      <c r="AL40" s="195" t="e">
        <f t="shared" si="32"/>
        <v>#DIV/0!</v>
      </c>
      <c r="AM40" s="196">
        <f t="shared" si="33"/>
        <v>2.94</v>
      </c>
      <c r="AN40" s="110"/>
    </row>
    <row r="41" spans="1:40" x14ac:dyDescent="0.35">
      <c r="A41" s="370"/>
      <c r="B41" s="475"/>
      <c r="C41" s="62" t="s">
        <v>98</v>
      </c>
      <c r="D41" s="316" t="s">
        <v>72</v>
      </c>
      <c r="E41" s="316" t="s">
        <v>72</v>
      </c>
      <c r="F41" s="50"/>
      <c r="G41" s="123">
        <f>T41</f>
        <v>0</v>
      </c>
      <c r="H41" s="45" t="e">
        <f t="shared" si="34"/>
        <v>#DIV/0!</v>
      </c>
      <c r="I41" s="46" t="e">
        <f t="shared" si="34"/>
        <v>#DIV/0!</v>
      </c>
      <c r="J41" s="212">
        <f>AF41</f>
        <v>0</v>
      </c>
      <c r="K41" s="45" t="e">
        <f t="shared" si="35"/>
        <v>#DIV/0!</v>
      </c>
      <c r="L41" s="195" t="e">
        <f t="shared" si="35"/>
        <v>#DIV/0!</v>
      </c>
      <c r="M41" s="471"/>
      <c r="N41" s="472"/>
      <c r="O41" s="443"/>
      <c r="P41" s="295">
        <v>0.4</v>
      </c>
      <c r="Q41" s="290" t="s">
        <v>229</v>
      </c>
      <c r="R41" s="122">
        <v>0.8</v>
      </c>
      <c r="S41" s="93">
        <f>M27*O40*P41</f>
        <v>0.66000000000000014</v>
      </c>
      <c r="T41" s="123">
        <f>ROUNDUP(R41*D2,0)</f>
        <v>0</v>
      </c>
      <c r="U41" s="125" t="e">
        <f t="shared" ref="U41:U43" si="36">S41/T41</f>
        <v>#DIV/0!</v>
      </c>
      <c r="V41" s="318">
        <f>F41</f>
        <v>0</v>
      </c>
      <c r="W41" s="45" t="e">
        <f>IF(V41/T41*S41&gt;S41*2,S41*2,V41/T41*S41)</f>
        <v>#DIV/0!</v>
      </c>
      <c r="X41" s="46" t="e">
        <f t="shared" si="28"/>
        <v>#DIV/0!</v>
      </c>
      <c r="Y41" s="459"/>
      <c r="Z41" s="462"/>
      <c r="AA41" s="373"/>
      <c r="AB41" s="285">
        <v>0.4</v>
      </c>
      <c r="AC41" s="290" t="s">
        <v>229</v>
      </c>
      <c r="AD41" s="214">
        <v>0.8</v>
      </c>
      <c r="AE41" s="93">
        <f>Y27*AA40*AB41</f>
        <v>0.98000000000000009</v>
      </c>
      <c r="AF41" s="212">
        <f>AD41*$D$2</f>
        <v>0</v>
      </c>
      <c r="AG41" s="185" t="e">
        <f t="shared" ref="AG41:AG43" si="37">AE41/AF41</f>
        <v>#DIV/0!</v>
      </c>
      <c r="AH41" s="318">
        <f>F41</f>
        <v>0</v>
      </c>
      <c r="AI41" s="45" t="e">
        <f>IF(AH41/AF41*AE41&gt;AE41*2,AE41*2,AH41/AF41*AE41)</f>
        <v>#DIV/0!</v>
      </c>
      <c r="AJ41" s="195" t="e">
        <f t="shared" si="29"/>
        <v>#DIV/0!</v>
      </c>
      <c r="AK41" s="196" t="e">
        <f>AH41/AF41*AE41</f>
        <v>#DIV/0!</v>
      </c>
      <c r="AL41" s="195" t="e">
        <f t="shared" si="32"/>
        <v>#DIV/0!</v>
      </c>
      <c r="AM41" s="196">
        <f t="shared" si="33"/>
        <v>1.9600000000000002</v>
      </c>
      <c r="AN41" s="110"/>
    </row>
    <row r="42" spans="1:40" x14ac:dyDescent="0.35">
      <c r="A42" s="370"/>
      <c r="B42" s="475"/>
      <c r="C42" s="7" t="s">
        <v>99</v>
      </c>
      <c r="D42" s="316" t="s">
        <v>72</v>
      </c>
      <c r="E42" s="316" t="s">
        <v>72</v>
      </c>
      <c r="F42" s="50"/>
      <c r="G42" s="123">
        <f>T42</f>
        <v>0</v>
      </c>
      <c r="H42" s="45" t="e">
        <f t="shared" si="34"/>
        <v>#DIV/0!</v>
      </c>
      <c r="I42" s="46" t="e">
        <f t="shared" si="34"/>
        <v>#DIV/0!</v>
      </c>
      <c r="J42" s="212">
        <f>AF42</f>
        <v>0</v>
      </c>
      <c r="K42" s="45" t="e">
        <f t="shared" si="35"/>
        <v>#DIV/0!</v>
      </c>
      <c r="L42" s="195" t="e">
        <f t="shared" si="35"/>
        <v>#DIV/0!</v>
      </c>
      <c r="M42" s="471"/>
      <c r="N42" s="472"/>
      <c r="O42" s="295">
        <v>0.03</v>
      </c>
      <c r="P42" s="297" t="s">
        <v>231</v>
      </c>
      <c r="Q42" s="290" t="s">
        <v>229</v>
      </c>
      <c r="R42" s="34">
        <v>0.01</v>
      </c>
      <c r="S42" s="93">
        <f>M27*O42</f>
        <v>0.495</v>
      </c>
      <c r="T42" s="123">
        <f>ROUNDUP(R42*D2,0)</f>
        <v>0</v>
      </c>
      <c r="U42" s="125" t="e">
        <f t="shared" si="36"/>
        <v>#DIV/0!</v>
      </c>
      <c r="V42" s="318">
        <f>F42</f>
        <v>0</v>
      </c>
      <c r="W42" s="45" t="e">
        <f>IF(V42/T42*S42&gt;S42*2,S42*2,V42/T42*S42)</f>
        <v>#DIV/0!</v>
      </c>
      <c r="X42" s="46" t="e">
        <f t="shared" si="28"/>
        <v>#DIV/0!</v>
      </c>
      <c r="Y42" s="459"/>
      <c r="Z42" s="462"/>
      <c r="AA42" s="285">
        <v>0.03</v>
      </c>
      <c r="AB42" s="284" t="s">
        <v>231</v>
      </c>
      <c r="AC42" s="290" t="s">
        <v>229</v>
      </c>
      <c r="AD42" s="220">
        <v>0.01</v>
      </c>
      <c r="AE42" s="93">
        <f>Y27*AA42</f>
        <v>0.73499999999999999</v>
      </c>
      <c r="AF42" s="212">
        <f>AD42*$D$2</f>
        <v>0</v>
      </c>
      <c r="AG42" s="185" t="e">
        <f t="shared" si="37"/>
        <v>#DIV/0!</v>
      </c>
      <c r="AH42" s="318">
        <f>F42</f>
        <v>0</v>
      </c>
      <c r="AI42" s="45" t="e">
        <f>IF(AH42/AF42*AE42&gt;AE42*2,AE42*2,AH42/AF42*AE42)</f>
        <v>#DIV/0!</v>
      </c>
      <c r="AJ42" s="195" t="e">
        <f t="shared" si="29"/>
        <v>#DIV/0!</v>
      </c>
      <c r="AK42" s="196" t="e">
        <f>AH42/AF42*AE42</f>
        <v>#DIV/0!</v>
      </c>
      <c r="AL42" s="195" t="e">
        <f t="shared" si="32"/>
        <v>#DIV/0!</v>
      </c>
      <c r="AM42" s="196">
        <f t="shared" si="33"/>
        <v>1.47</v>
      </c>
      <c r="AN42" s="110"/>
    </row>
    <row r="43" spans="1:40" ht="29" x14ac:dyDescent="0.35">
      <c r="A43" s="370"/>
      <c r="B43" s="475"/>
      <c r="C43" s="7" t="s">
        <v>100</v>
      </c>
      <c r="D43" s="316" t="s">
        <v>72</v>
      </c>
      <c r="E43" s="316" t="s">
        <v>72</v>
      </c>
      <c r="F43" s="50"/>
      <c r="G43" s="123">
        <f>T43</f>
        <v>0</v>
      </c>
      <c r="H43" s="45" t="e">
        <f t="shared" si="34"/>
        <v>#DIV/0!</v>
      </c>
      <c r="I43" s="46" t="e">
        <f t="shared" si="34"/>
        <v>#DIV/0!</v>
      </c>
      <c r="J43" s="212">
        <f>AF43</f>
        <v>0</v>
      </c>
      <c r="K43" s="45" t="e">
        <f t="shared" si="35"/>
        <v>#DIV/0!</v>
      </c>
      <c r="L43" s="195" t="e">
        <f t="shared" si="35"/>
        <v>#DIV/0!</v>
      </c>
      <c r="M43" s="471"/>
      <c r="N43" s="472"/>
      <c r="O43" s="295">
        <v>0.02</v>
      </c>
      <c r="P43" s="297" t="s">
        <v>231</v>
      </c>
      <c r="Q43" s="290" t="s">
        <v>229</v>
      </c>
      <c r="R43" s="122">
        <v>0.1</v>
      </c>
      <c r="S43" s="93">
        <f>M27*O43</f>
        <v>0.33</v>
      </c>
      <c r="T43" s="123">
        <f>ROUNDUP(R43*D2,0)</f>
        <v>0</v>
      </c>
      <c r="U43" s="125" t="e">
        <f t="shared" si="36"/>
        <v>#DIV/0!</v>
      </c>
      <c r="V43" s="318">
        <f>F43</f>
        <v>0</v>
      </c>
      <c r="W43" s="45" t="e">
        <f>IF(V43/T43*S43&gt;S43*2,S43*2,V43/T43*S43)</f>
        <v>#DIV/0!</v>
      </c>
      <c r="X43" s="46" t="e">
        <f t="shared" si="28"/>
        <v>#DIV/0!</v>
      </c>
      <c r="Y43" s="460"/>
      <c r="Z43" s="463"/>
      <c r="AA43" s="285">
        <v>0.02</v>
      </c>
      <c r="AB43" s="284" t="s">
        <v>231</v>
      </c>
      <c r="AC43" s="290" t="s">
        <v>229</v>
      </c>
      <c r="AD43" s="214">
        <v>2</v>
      </c>
      <c r="AE43" s="93">
        <f>Y27*AA43</f>
        <v>0.49</v>
      </c>
      <c r="AF43" s="212">
        <f>AD43*$D$2</f>
        <v>0</v>
      </c>
      <c r="AG43" s="185" t="e">
        <f t="shared" si="37"/>
        <v>#DIV/0!</v>
      </c>
      <c r="AH43" s="318">
        <f>F43</f>
        <v>0</v>
      </c>
      <c r="AI43" s="45" t="e">
        <f>IF(AH43/AF43*AE43&gt;AE43*2,AE43*2,AH43/AF43*AE43)</f>
        <v>#DIV/0!</v>
      </c>
      <c r="AJ43" s="195" t="e">
        <f t="shared" si="29"/>
        <v>#DIV/0!</v>
      </c>
      <c r="AK43" s="196" t="e">
        <f>AH43/AF43*AE43</f>
        <v>#DIV/0!</v>
      </c>
      <c r="AL43" s="195" t="e">
        <f t="shared" si="32"/>
        <v>#DIV/0!</v>
      </c>
      <c r="AM43" s="196">
        <f t="shared" si="33"/>
        <v>0.98</v>
      </c>
      <c r="AN43" s="110"/>
    </row>
    <row r="44" spans="1:40" ht="29" x14ac:dyDescent="0.35">
      <c r="A44" s="369">
        <v>2</v>
      </c>
      <c r="B44" s="476" t="s">
        <v>101</v>
      </c>
      <c r="C44" s="61" t="s">
        <v>102</v>
      </c>
      <c r="D44" s="315"/>
      <c r="E44" s="315"/>
      <c r="F44" s="48"/>
      <c r="G44" s="135"/>
      <c r="H44" s="119"/>
      <c r="I44" s="120"/>
      <c r="J44" s="221"/>
      <c r="K44" s="119"/>
      <c r="L44" s="120"/>
      <c r="M44" s="398">
        <v>12</v>
      </c>
      <c r="N44" s="472">
        <v>0.4</v>
      </c>
      <c r="O44" s="433">
        <v>0.5</v>
      </c>
      <c r="P44" s="133"/>
      <c r="Q44" s="127"/>
      <c r="R44" s="134"/>
      <c r="S44" s="48"/>
      <c r="T44" s="135"/>
      <c r="U44" s="136"/>
      <c r="V44" s="137"/>
      <c r="W44" s="119"/>
      <c r="X44" s="120"/>
      <c r="Y44" s="369">
        <v>10.5</v>
      </c>
      <c r="Z44" s="461">
        <v>0.3</v>
      </c>
      <c r="AA44" s="372">
        <v>0.5</v>
      </c>
      <c r="AB44" s="133"/>
      <c r="AC44" s="127"/>
      <c r="AD44" s="134"/>
      <c r="AE44" s="48"/>
      <c r="AF44" s="221"/>
      <c r="AG44" s="222"/>
      <c r="AH44" s="221"/>
      <c r="AI44" s="119"/>
      <c r="AJ44" s="120"/>
      <c r="AK44" s="192"/>
      <c r="AL44" s="120"/>
      <c r="AM44" s="192"/>
      <c r="AN44" s="120"/>
    </row>
    <row r="45" spans="1:40" x14ac:dyDescent="0.35">
      <c r="A45" s="370"/>
      <c r="B45" s="476"/>
      <c r="C45" s="62" t="s">
        <v>103</v>
      </c>
      <c r="D45" s="316" t="s">
        <v>72</v>
      </c>
      <c r="E45" s="316" t="s">
        <v>72</v>
      </c>
      <c r="F45" s="334">
        <v>0</v>
      </c>
      <c r="G45" s="139">
        <f>T45</f>
        <v>0</v>
      </c>
      <c r="H45" s="45"/>
      <c r="I45" s="142"/>
      <c r="J45" s="223"/>
      <c r="K45" s="45"/>
      <c r="L45" s="142"/>
      <c r="M45" s="398"/>
      <c r="N45" s="472"/>
      <c r="O45" s="433"/>
      <c r="P45" s="284" t="s">
        <v>231</v>
      </c>
      <c r="Q45" s="290" t="s">
        <v>231</v>
      </c>
      <c r="R45" s="138" t="s">
        <v>231</v>
      </c>
      <c r="S45" s="93"/>
      <c r="T45" s="139">
        <v>0</v>
      </c>
      <c r="U45" s="140"/>
      <c r="V45" s="322">
        <f>F45</f>
        <v>0</v>
      </c>
      <c r="W45" s="45"/>
      <c r="X45" s="142"/>
      <c r="Y45" s="370"/>
      <c r="Z45" s="462"/>
      <c r="AA45" s="418"/>
      <c r="AB45" s="284"/>
      <c r="AC45" s="290"/>
      <c r="AD45" s="138"/>
      <c r="AE45" s="93"/>
      <c r="AF45" s="223"/>
      <c r="AG45" s="224"/>
      <c r="AH45" s="321">
        <f>F45</f>
        <v>0</v>
      </c>
      <c r="AI45" s="45"/>
      <c r="AJ45" s="142"/>
      <c r="AK45" s="150"/>
      <c r="AL45" s="142"/>
      <c r="AM45" s="150"/>
      <c r="AN45" s="110"/>
    </row>
    <row r="46" spans="1:40" x14ac:dyDescent="0.35">
      <c r="A46" s="370"/>
      <c r="B46" s="476"/>
      <c r="C46" s="62" t="s">
        <v>104</v>
      </c>
      <c r="D46" s="316" t="s">
        <v>72</v>
      </c>
      <c r="E46" s="316" t="s">
        <v>72</v>
      </c>
      <c r="F46" s="334"/>
      <c r="G46" s="139">
        <f>T46</f>
        <v>0</v>
      </c>
      <c r="H46" s="45" t="e">
        <f>W46</f>
        <v>#DIV/0!</v>
      </c>
      <c r="I46" s="46" t="e">
        <f>X46</f>
        <v>#DIV/0!</v>
      </c>
      <c r="J46" s="225">
        <f>AF46</f>
        <v>0</v>
      </c>
      <c r="K46" s="45" t="e">
        <f>AI46</f>
        <v>#DIV/0!</v>
      </c>
      <c r="L46" s="195" t="e">
        <f>AJ46</f>
        <v>#DIV/0!</v>
      </c>
      <c r="M46" s="398"/>
      <c r="N46" s="472"/>
      <c r="O46" s="433"/>
      <c r="P46" s="284" t="s">
        <v>231</v>
      </c>
      <c r="Q46" s="290" t="s">
        <v>232</v>
      </c>
      <c r="R46" s="138" t="s">
        <v>236</v>
      </c>
      <c r="S46" s="93">
        <f>M44*O44</f>
        <v>6</v>
      </c>
      <c r="T46" s="139">
        <f>((30000*D3)+(12000*D4))</f>
        <v>0</v>
      </c>
      <c r="U46" s="143" t="e">
        <f>S46/T46</f>
        <v>#DIV/0!</v>
      </c>
      <c r="V46" s="322">
        <f>F46</f>
        <v>0</v>
      </c>
      <c r="W46" s="45" t="e">
        <f>IF(V46/T46*S46&gt;S46*2,S46*2,V46/T46*S46)</f>
        <v>#DIV/0!</v>
      </c>
      <c r="X46" s="46" t="e">
        <f t="shared" si="28"/>
        <v>#DIV/0!</v>
      </c>
      <c r="Y46" s="370"/>
      <c r="Z46" s="462"/>
      <c r="AA46" s="373"/>
      <c r="AB46" s="284" t="s">
        <v>231</v>
      </c>
      <c r="AC46" s="290" t="s">
        <v>232</v>
      </c>
      <c r="AD46" s="138" t="s">
        <v>253</v>
      </c>
      <c r="AE46" s="93">
        <f>Y44*AA44</f>
        <v>5.25</v>
      </c>
      <c r="AF46" s="225">
        <f>((60000*D3)+(24000*D4))</f>
        <v>0</v>
      </c>
      <c r="AG46" s="226" t="e">
        <f>AE46/AF46</f>
        <v>#DIV/0!</v>
      </c>
      <c r="AH46" s="321">
        <f>F46</f>
        <v>0</v>
      </c>
      <c r="AI46" s="45" t="e">
        <f>IF(AH46/AF46*AE46&gt;AE46*2,AE46*2,AH46/AF46*AE46)</f>
        <v>#DIV/0!</v>
      </c>
      <c r="AJ46" s="195" t="e">
        <f t="shared" si="29"/>
        <v>#DIV/0!</v>
      </c>
      <c r="AK46" s="196" t="e">
        <f>AH46/AF46*AE46</f>
        <v>#DIV/0!</v>
      </c>
      <c r="AL46" s="195" t="e">
        <f t="shared" ref="AL46" si="38">AK46/AE46</f>
        <v>#DIV/0!</v>
      </c>
      <c r="AM46" s="196">
        <f t="shared" ref="AM46" si="39">AE46*2</f>
        <v>10.5</v>
      </c>
      <c r="AN46" s="110"/>
    </row>
    <row r="47" spans="1:40" x14ac:dyDescent="0.35">
      <c r="A47" s="370"/>
      <c r="B47" s="476"/>
      <c r="C47" s="61" t="s">
        <v>105</v>
      </c>
      <c r="D47" s="315"/>
      <c r="E47" s="315"/>
      <c r="F47" s="48"/>
      <c r="G47" s="116"/>
      <c r="H47" s="119"/>
      <c r="I47" s="120"/>
      <c r="J47" s="48"/>
      <c r="K47" s="119"/>
      <c r="L47" s="120"/>
      <c r="M47" s="398"/>
      <c r="N47" s="472"/>
      <c r="O47" s="433">
        <v>0.2</v>
      </c>
      <c r="P47" s="133"/>
      <c r="Q47" s="127"/>
      <c r="R47" s="134"/>
      <c r="S47" s="48"/>
      <c r="T47" s="116"/>
      <c r="U47" s="110"/>
      <c r="V47" s="110"/>
      <c r="W47" s="119"/>
      <c r="X47" s="120"/>
      <c r="Y47" s="370"/>
      <c r="Z47" s="462"/>
      <c r="AA47" s="372">
        <v>0.2</v>
      </c>
      <c r="AB47" s="133"/>
      <c r="AC47" s="127"/>
      <c r="AD47" s="134"/>
      <c r="AE47" s="48"/>
      <c r="AF47" s="48"/>
      <c r="AG47" s="116"/>
      <c r="AH47" s="116"/>
      <c r="AI47" s="119"/>
      <c r="AJ47" s="120"/>
      <c r="AK47" s="192"/>
      <c r="AL47" s="120"/>
      <c r="AM47" s="192"/>
      <c r="AN47" s="120"/>
    </row>
    <row r="48" spans="1:40" x14ac:dyDescent="0.35">
      <c r="A48" s="370"/>
      <c r="B48" s="476"/>
      <c r="C48" s="62" t="s">
        <v>103</v>
      </c>
      <c r="D48" s="316" t="s">
        <v>72</v>
      </c>
      <c r="E48" s="316" t="s">
        <v>72</v>
      </c>
      <c r="F48" s="334">
        <v>0</v>
      </c>
      <c r="G48" s="139">
        <f>T48</f>
        <v>0</v>
      </c>
      <c r="H48" s="45"/>
      <c r="I48" s="142"/>
      <c r="J48" s="93"/>
      <c r="K48" s="45"/>
      <c r="L48" s="142"/>
      <c r="M48" s="398"/>
      <c r="N48" s="472"/>
      <c r="O48" s="433"/>
      <c r="P48" s="284" t="s">
        <v>231</v>
      </c>
      <c r="Q48" s="290" t="s">
        <v>231</v>
      </c>
      <c r="R48" s="138" t="s">
        <v>231</v>
      </c>
      <c r="S48" s="60"/>
      <c r="T48" s="139">
        <v>0</v>
      </c>
      <c r="U48" s="52"/>
      <c r="V48" s="322">
        <f>F48</f>
        <v>0</v>
      </c>
      <c r="W48" s="45"/>
      <c r="X48" s="142"/>
      <c r="Y48" s="370"/>
      <c r="Z48" s="462"/>
      <c r="AA48" s="418"/>
      <c r="AB48" s="284"/>
      <c r="AC48" s="290"/>
      <c r="AD48" s="138"/>
      <c r="AE48" s="93"/>
      <c r="AF48" s="93"/>
      <c r="AG48" s="281"/>
      <c r="AH48" s="323">
        <f>F48</f>
        <v>0</v>
      </c>
      <c r="AI48" s="45"/>
      <c r="AJ48" s="142"/>
      <c r="AK48" s="150"/>
      <c r="AL48" s="142"/>
      <c r="AM48" s="150"/>
      <c r="AN48" s="110"/>
    </row>
    <row r="49" spans="1:40" ht="29" x14ac:dyDescent="0.35">
      <c r="A49" s="370"/>
      <c r="B49" s="476"/>
      <c r="C49" s="62" t="s">
        <v>104</v>
      </c>
      <c r="D49" s="316" t="s">
        <v>72</v>
      </c>
      <c r="E49" s="316" t="s">
        <v>72</v>
      </c>
      <c r="F49" s="334">
        <v>0</v>
      </c>
      <c r="G49" s="144">
        <f>T49</f>
        <v>0</v>
      </c>
      <c r="H49" s="45" t="e">
        <f>W49</f>
        <v>#DIV/0!</v>
      </c>
      <c r="I49" s="46" t="e">
        <f>X49</f>
        <v>#DIV/0!</v>
      </c>
      <c r="J49" s="227">
        <f>AF49</f>
        <v>0</v>
      </c>
      <c r="K49" s="45" t="e">
        <f>AI49</f>
        <v>#DIV/0!</v>
      </c>
      <c r="L49" s="195" t="e">
        <f>AJ49</f>
        <v>#DIV/0!</v>
      </c>
      <c r="M49" s="398"/>
      <c r="N49" s="472"/>
      <c r="O49" s="433"/>
      <c r="P49" s="284" t="s">
        <v>231</v>
      </c>
      <c r="Q49" s="290" t="s">
        <v>232</v>
      </c>
      <c r="R49" s="138" t="s">
        <v>237</v>
      </c>
      <c r="S49" s="60">
        <f>M44*O47</f>
        <v>2.4000000000000004</v>
      </c>
      <c r="T49" s="144">
        <f>((10000*D3)+(D4*6000))</f>
        <v>0</v>
      </c>
      <c r="U49" s="143" t="e">
        <f>S49/T49</f>
        <v>#DIV/0!</v>
      </c>
      <c r="V49" s="324">
        <f>F49</f>
        <v>0</v>
      </c>
      <c r="W49" s="45" t="e">
        <f>IF(V49/T49*S49&gt;S49*2,S49*2,V49/T49*S49)</f>
        <v>#DIV/0!</v>
      </c>
      <c r="X49" s="46" t="e">
        <f t="shared" si="28"/>
        <v>#DIV/0!</v>
      </c>
      <c r="Y49" s="370"/>
      <c r="Z49" s="462"/>
      <c r="AA49" s="373"/>
      <c r="AB49" s="284" t="s">
        <v>231</v>
      </c>
      <c r="AC49" s="290" t="s">
        <v>232</v>
      </c>
      <c r="AD49" s="138" t="s">
        <v>254</v>
      </c>
      <c r="AE49" s="60">
        <f>Y44*AA47</f>
        <v>2.1</v>
      </c>
      <c r="AF49" s="227">
        <f>((20000*D3)+(D4*12000))</f>
        <v>0</v>
      </c>
      <c r="AG49" s="226" t="e">
        <f>AE49/AF49</f>
        <v>#DIV/0!</v>
      </c>
      <c r="AH49" s="325">
        <f>F49</f>
        <v>0</v>
      </c>
      <c r="AI49" s="45" t="e">
        <f>IF(AH49/AF49*AE49&gt;AE49*2,AE49*2,AH49/AF49*AE49)</f>
        <v>#DIV/0!</v>
      </c>
      <c r="AJ49" s="195" t="e">
        <f t="shared" si="29"/>
        <v>#DIV/0!</v>
      </c>
      <c r="AK49" s="196" t="e">
        <f>AH49/AF49*AE49</f>
        <v>#DIV/0!</v>
      </c>
      <c r="AL49" s="195" t="e">
        <f t="shared" ref="AL49" si="40">AK49/AE49</f>
        <v>#DIV/0!</v>
      </c>
      <c r="AM49" s="196">
        <f t="shared" ref="AM49" si="41">AE49*2</f>
        <v>4.2</v>
      </c>
      <c r="AN49" s="110"/>
    </row>
    <row r="50" spans="1:40" x14ac:dyDescent="0.35">
      <c r="A50" s="370"/>
      <c r="B50" s="476"/>
      <c r="C50" s="61" t="s">
        <v>106</v>
      </c>
      <c r="D50" s="315"/>
      <c r="E50" s="315"/>
      <c r="F50" s="48"/>
      <c r="G50" s="116"/>
      <c r="H50" s="119"/>
      <c r="I50" s="120"/>
      <c r="J50" s="48"/>
      <c r="K50" s="119"/>
      <c r="L50" s="120"/>
      <c r="M50" s="398"/>
      <c r="N50" s="472"/>
      <c r="O50" s="433">
        <v>0.3</v>
      </c>
      <c r="P50" s="133"/>
      <c r="Q50" s="127"/>
      <c r="R50" s="134"/>
      <c r="S50" s="48"/>
      <c r="T50" s="116"/>
      <c r="U50" s="110"/>
      <c r="V50" s="110"/>
      <c r="W50" s="119"/>
      <c r="X50" s="120"/>
      <c r="Y50" s="370"/>
      <c r="Z50" s="462"/>
      <c r="AA50" s="372">
        <v>0.3</v>
      </c>
      <c r="AB50" s="133"/>
      <c r="AC50" s="127"/>
      <c r="AD50" s="134"/>
      <c r="AE50" s="48"/>
      <c r="AF50" s="48"/>
      <c r="AG50" s="116"/>
      <c r="AH50" s="116"/>
      <c r="AI50" s="119"/>
      <c r="AJ50" s="120"/>
      <c r="AK50" s="192"/>
      <c r="AL50" s="120"/>
      <c r="AM50" s="192"/>
      <c r="AN50" s="120"/>
    </row>
    <row r="51" spans="1:40" x14ac:dyDescent="0.35">
      <c r="A51" s="370"/>
      <c r="B51" s="476"/>
      <c r="C51" s="62" t="s">
        <v>103</v>
      </c>
      <c r="D51" s="316" t="s">
        <v>72</v>
      </c>
      <c r="E51" s="316" t="s">
        <v>72</v>
      </c>
      <c r="F51" s="334">
        <v>0</v>
      </c>
      <c r="G51" s="139">
        <f>T51</f>
        <v>0</v>
      </c>
      <c r="H51" s="45"/>
      <c r="I51" s="142"/>
      <c r="J51" s="93"/>
      <c r="K51" s="45"/>
      <c r="L51" s="142"/>
      <c r="M51" s="398"/>
      <c r="N51" s="472"/>
      <c r="O51" s="433"/>
      <c r="P51" s="284" t="s">
        <v>231</v>
      </c>
      <c r="Q51" s="290" t="s">
        <v>231</v>
      </c>
      <c r="R51" s="138" t="s">
        <v>231</v>
      </c>
      <c r="S51" s="60"/>
      <c r="T51" s="139">
        <v>0</v>
      </c>
      <c r="U51" s="52"/>
      <c r="V51" s="322">
        <f>F51</f>
        <v>0</v>
      </c>
      <c r="W51" s="45"/>
      <c r="X51" s="142"/>
      <c r="Y51" s="370"/>
      <c r="Z51" s="462"/>
      <c r="AA51" s="418"/>
      <c r="AB51" s="284"/>
      <c r="AC51" s="290"/>
      <c r="AD51" s="138"/>
      <c r="AE51" s="93"/>
      <c r="AF51" s="93"/>
      <c r="AG51" s="281"/>
      <c r="AH51" s="323">
        <f>F51</f>
        <v>0</v>
      </c>
      <c r="AI51" s="45"/>
      <c r="AJ51" s="142"/>
      <c r="AK51" s="150"/>
      <c r="AL51" s="142"/>
      <c r="AM51" s="150"/>
      <c r="AN51" s="110"/>
    </row>
    <row r="52" spans="1:40" x14ac:dyDescent="0.35">
      <c r="A52" s="371"/>
      <c r="B52" s="476"/>
      <c r="C52" s="62" t="s">
        <v>107</v>
      </c>
      <c r="D52" s="316" t="s">
        <v>72</v>
      </c>
      <c r="E52" s="316" t="s">
        <v>72</v>
      </c>
      <c r="F52" s="334">
        <v>0</v>
      </c>
      <c r="G52" s="139">
        <f>T52</f>
        <v>0</v>
      </c>
      <c r="H52" s="45" t="e">
        <f>W52</f>
        <v>#DIV/0!</v>
      </c>
      <c r="I52" s="46" t="e">
        <f>X52</f>
        <v>#DIV/0!</v>
      </c>
      <c r="J52" s="225">
        <f>AF52</f>
        <v>0</v>
      </c>
      <c r="K52" s="45" t="e">
        <f>AI52</f>
        <v>#DIV/0!</v>
      </c>
      <c r="L52" s="195" t="e">
        <f>AJ52</f>
        <v>#DIV/0!</v>
      </c>
      <c r="M52" s="398"/>
      <c r="N52" s="472"/>
      <c r="O52" s="433"/>
      <c r="P52" s="284" t="s">
        <v>231</v>
      </c>
      <c r="Q52" s="290" t="s">
        <v>232</v>
      </c>
      <c r="R52" s="138" t="s">
        <v>238</v>
      </c>
      <c r="S52" s="60">
        <f>M44*O50</f>
        <v>3.5999999999999996</v>
      </c>
      <c r="T52" s="139">
        <f>((10000*D3)+(12000*D4))</f>
        <v>0</v>
      </c>
      <c r="U52" s="143" t="e">
        <f>S52/T52</f>
        <v>#DIV/0!</v>
      </c>
      <c r="V52" s="322">
        <f>F52</f>
        <v>0</v>
      </c>
      <c r="W52" s="45" t="e">
        <f>IF(V52/T52*S52&gt;S52*2,S52*2,V52/T52*S52)</f>
        <v>#DIV/0!</v>
      </c>
      <c r="X52" s="46" t="e">
        <f t="shared" si="28"/>
        <v>#DIV/0!</v>
      </c>
      <c r="Y52" s="371"/>
      <c r="Z52" s="463"/>
      <c r="AA52" s="373"/>
      <c r="AB52" s="284" t="s">
        <v>231</v>
      </c>
      <c r="AC52" s="290" t="s">
        <v>232</v>
      </c>
      <c r="AD52" s="138" t="s">
        <v>255</v>
      </c>
      <c r="AE52" s="60">
        <f>Y44*AA50</f>
        <v>3.15</v>
      </c>
      <c r="AF52" s="225">
        <f>((20000*D3)+(24000*D4))</f>
        <v>0</v>
      </c>
      <c r="AG52" s="226" t="e">
        <f>AE52/AF52</f>
        <v>#DIV/0!</v>
      </c>
      <c r="AH52" s="321">
        <f>F52</f>
        <v>0</v>
      </c>
      <c r="AI52" s="45" t="e">
        <f>IF(AH52/AF52*AE52&gt;AE52*2,AE52*2,AH52/AF52*AE52)</f>
        <v>#DIV/0!</v>
      </c>
      <c r="AJ52" s="195" t="e">
        <f t="shared" si="29"/>
        <v>#DIV/0!</v>
      </c>
      <c r="AK52" s="196" t="e">
        <f>AH52/AF52*AE52</f>
        <v>#DIV/0!</v>
      </c>
      <c r="AL52" s="195" t="e">
        <f t="shared" ref="AL52" si="42">AK52/AE52</f>
        <v>#DIV/0!</v>
      </c>
      <c r="AM52" s="196">
        <f t="shared" ref="AM52" si="43">AE52*2</f>
        <v>6.3</v>
      </c>
      <c r="AN52" s="110"/>
    </row>
    <row r="53" spans="1:40" x14ac:dyDescent="0.35">
      <c r="A53" s="491">
        <v>3</v>
      </c>
      <c r="B53" s="510" t="s">
        <v>203</v>
      </c>
      <c r="C53" s="67" t="s">
        <v>204</v>
      </c>
      <c r="D53" s="511" t="s">
        <v>72</v>
      </c>
      <c r="E53" s="511" t="s">
        <v>43</v>
      </c>
      <c r="F53" s="326">
        <f>F52+F49+F46</f>
        <v>0</v>
      </c>
      <c r="G53" s="464">
        <f>T53</f>
        <v>0.6</v>
      </c>
      <c r="H53" s="465" t="e">
        <f>W53</f>
        <v>#DIV/0!</v>
      </c>
      <c r="I53" s="441" t="e">
        <f>X53</f>
        <v>#DIV/0!</v>
      </c>
      <c r="J53" s="319"/>
      <c r="K53" s="319"/>
      <c r="L53" s="319"/>
      <c r="M53" s="453">
        <v>1.5</v>
      </c>
      <c r="N53" s="466">
        <v>0.05</v>
      </c>
      <c r="O53" s="443">
        <v>1</v>
      </c>
      <c r="P53" s="444" t="s">
        <v>231</v>
      </c>
      <c r="Q53" s="491" t="s">
        <v>233</v>
      </c>
      <c r="R53" s="507">
        <v>0.6</v>
      </c>
      <c r="S53" s="508">
        <f>M53*O53</f>
        <v>1.5</v>
      </c>
      <c r="T53" s="464">
        <f>R53</f>
        <v>0.6</v>
      </c>
      <c r="U53" s="509"/>
      <c r="V53" s="145">
        <f>F53</f>
        <v>0</v>
      </c>
      <c r="W53" s="440" t="e">
        <f>IF(((V54/V53)*S53/R53)&gt;2*S53,2*S53,((V54/V53)*S53/R53))</f>
        <v>#DIV/0!</v>
      </c>
      <c r="X53" s="441" t="e">
        <f>W53/S53</f>
        <v>#DIV/0!</v>
      </c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</row>
    <row r="54" spans="1:40" x14ac:dyDescent="0.35">
      <c r="A54" s="491"/>
      <c r="B54" s="510"/>
      <c r="C54" s="67" t="s">
        <v>205</v>
      </c>
      <c r="D54" s="511"/>
      <c r="E54" s="511"/>
      <c r="F54" s="334"/>
      <c r="G54" s="464"/>
      <c r="H54" s="465"/>
      <c r="I54" s="442"/>
      <c r="J54" s="319"/>
      <c r="K54" s="319"/>
      <c r="L54" s="319"/>
      <c r="M54" s="453"/>
      <c r="N54" s="466"/>
      <c r="O54" s="443"/>
      <c r="P54" s="443"/>
      <c r="Q54" s="491"/>
      <c r="R54" s="507"/>
      <c r="S54" s="508"/>
      <c r="T54" s="464"/>
      <c r="U54" s="509"/>
      <c r="V54" s="327">
        <f>F54</f>
        <v>0</v>
      </c>
      <c r="W54" s="440"/>
      <c r="X54" s="442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</row>
    <row r="55" spans="1:40" x14ac:dyDescent="0.35">
      <c r="A55" s="517" t="s">
        <v>108</v>
      </c>
      <c r="B55" s="518"/>
      <c r="C55" s="519"/>
      <c r="H55" s="82" t="e">
        <f>W55</f>
        <v>#DIV/0!</v>
      </c>
      <c r="I55" s="46" t="e">
        <f>X55</f>
        <v>#DIV/0!</v>
      </c>
      <c r="K55" s="82" t="e">
        <f>AI55</f>
        <v>#DIV/0!</v>
      </c>
      <c r="L55" s="195" t="e">
        <f>AJ55</f>
        <v>#DIV/0!</v>
      </c>
      <c r="M55" s="91">
        <f>SUM(M27:M54)</f>
        <v>30</v>
      </c>
      <c r="N55" s="146">
        <f>SUM(N27:N54)</f>
        <v>1</v>
      </c>
      <c r="O55" s="147"/>
      <c r="P55" s="81"/>
      <c r="Q55" s="81"/>
      <c r="R55" s="148"/>
      <c r="S55" s="91">
        <f>SUM(S27:S54)</f>
        <v>30</v>
      </c>
      <c r="T55" s="149"/>
      <c r="U55" s="69"/>
      <c r="V55" s="69"/>
      <c r="W55" s="82" t="e">
        <f>SUM(W28:W54)</f>
        <v>#DIV/0!</v>
      </c>
      <c r="X55" s="46" t="e">
        <f>W55/S55</f>
        <v>#DIV/0!</v>
      </c>
      <c r="Y55" s="91">
        <f>SUM(Y27:Y52)</f>
        <v>35</v>
      </c>
      <c r="Z55" s="146">
        <f>SUM(Z27:Z52)</f>
        <v>1</v>
      </c>
      <c r="AA55" s="147"/>
      <c r="AB55" s="81"/>
      <c r="AC55" s="81"/>
      <c r="AD55" s="148"/>
      <c r="AE55" s="91">
        <f>SUM(AE27:AE52)</f>
        <v>35</v>
      </c>
      <c r="AF55" s="91"/>
      <c r="AG55" s="149"/>
      <c r="AH55" s="149"/>
      <c r="AI55" s="82" t="e">
        <f>SUM(AI28:AI52)</f>
        <v>#DIV/0!</v>
      </c>
      <c r="AJ55" s="195" t="e">
        <f>AI55/AE55</f>
        <v>#DIV/0!</v>
      </c>
      <c r="AK55" s="82" t="e">
        <f>IF(SUM(AK28:AK52)&gt;AM55, AM55, SUM(AK28:AK52))</f>
        <v>#DIV/0!</v>
      </c>
      <c r="AL55" s="195" t="e">
        <f>AK55/AE55</f>
        <v>#DIV/0!</v>
      </c>
      <c r="AM55" s="203">
        <f>SUM(AM27:AM52)</f>
        <v>70</v>
      </c>
      <c r="AN55" s="110"/>
    </row>
    <row r="57" spans="1:40" x14ac:dyDescent="0.35">
      <c r="A57" s="523" t="s">
        <v>206</v>
      </c>
      <c r="B57" s="523"/>
      <c r="C57" s="523"/>
      <c r="D57" s="523"/>
      <c r="E57" s="523"/>
      <c r="F57" s="523"/>
      <c r="G57" s="341" t="s">
        <v>70</v>
      </c>
      <c r="H57" s="342"/>
      <c r="I57" s="343"/>
      <c r="J57" s="423" t="s">
        <v>71</v>
      </c>
      <c r="K57" s="424"/>
      <c r="L57" s="425"/>
      <c r="M57" s="417" t="s">
        <v>70</v>
      </c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335" t="s">
        <v>71</v>
      </c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</row>
    <row r="58" spans="1:40" ht="29" x14ac:dyDescent="0.35">
      <c r="A58" s="292" t="s">
        <v>43</v>
      </c>
      <c r="B58" s="292" t="s">
        <v>44</v>
      </c>
      <c r="C58" s="292" t="s">
        <v>45</v>
      </c>
      <c r="D58" s="292" t="s">
        <v>70</v>
      </c>
      <c r="E58" s="64" t="s">
        <v>71</v>
      </c>
      <c r="F58" s="41" t="s">
        <v>2</v>
      </c>
      <c r="G58" s="37" t="s">
        <v>76</v>
      </c>
      <c r="H58" s="83" t="s">
        <v>63</v>
      </c>
      <c r="I58" s="83" t="s">
        <v>223</v>
      </c>
      <c r="J58" s="189" t="s">
        <v>76</v>
      </c>
      <c r="K58" s="3" t="s">
        <v>63</v>
      </c>
      <c r="L58" s="3" t="s">
        <v>223</v>
      </c>
      <c r="M58" s="292" t="s">
        <v>63</v>
      </c>
      <c r="N58" s="292" t="s">
        <v>64</v>
      </c>
      <c r="O58" s="292" t="s">
        <v>73</v>
      </c>
      <c r="P58" s="292" t="s">
        <v>212</v>
      </c>
      <c r="Q58" s="24" t="s">
        <v>74</v>
      </c>
      <c r="R58" s="24" t="s">
        <v>224</v>
      </c>
      <c r="S58" s="24" t="s">
        <v>239</v>
      </c>
      <c r="T58" s="37" t="s">
        <v>76</v>
      </c>
      <c r="U58" s="3" t="s">
        <v>81</v>
      </c>
      <c r="V58" s="41" t="s">
        <v>2</v>
      </c>
      <c r="W58" s="83" t="s">
        <v>215</v>
      </c>
      <c r="X58" s="83" t="s">
        <v>79</v>
      </c>
      <c r="Y58" s="292" t="s">
        <v>63</v>
      </c>
      <c r="Z58" s="292" t="s">
        <v>64</v>
      </c>
      <c r="AA58" s="292" t="s">
        <v>73</v>
      </c>
      <c r="AB58" s="292" t="s">
        <v>227</v>
      </c>
      <c r="AC58" s="292" t="s">
        <v>218</v>
      </c>
      <c r="AD58" s="24" t="s">
        <v>74</v>
      </c>
      <c r="AE58" s="24" t="s">
        <v>245</v>
      </c>
      <c r="AF58" s="189" t="s">
        <v>76</v>
      </c>
      <c r="AG58" s="3" t="s">
        <v>81</v>
      </c>
      <c r="AH58" s="41" t="s">
        <v>2</v>
      </c>
      <c r="AI58" s="3" t="s">
        <v>246</v>
      </c>
      <c r="AJ58" s="3" t="s">
        <v>79</v>
      </c>
      <c r="AK58" s="190" t="s">
        <v>247</v>
      </c>
      <c r="AL58" s="191" t="s">
        <v>248</v>
      </c>
      <c r="AM58" s="191" t="s">
        <v>251</v>
      </c>
      <c r="AN58" s="258" t="s">
        <v>252</v>
      </c>
    </row>
    <row r="59" spans="1:40" x14ac:dyDescent="0.35">
      <c r="A59" s="406">
        <v>1</v>
      </c>
      <c r="B59" s="520" t="s">
        <v>110</v>
      </c>
      <c r="C59" s="65" t="s">
        <v>111</v>
      </c>
      <c r="D59" s="315"/>
      <c r="E59" s="315"/>
      <c r="F59" s="319"/>
      <c r="G59" s="156"/>
      <c r="H59" s="156"/>
      <c r="I59" s="156"/>
      <c r="J59" s="156"/>
      <c r="K59" s="228"/>
      <c r="L59" s="228"/>
      <c r="M59" s="14"/>
      <c r="N59" s="152"/>
      <c r="O59" s="152"/>
      <c r="P59" s="14"/>
      <c r="Q59" s="113"/>
      <c r="R59" s="156"/>
      <c r="S59" s="156"/>
      <c r="T59" s="156"/>
      <c r="U59" s="156"/>
      <c r="V59" s="156"/>
      <c r="W59" s="156"/>
      <c r="X59" s="156"/>
      <c r="Y59" s="453">
        <v>10</v>
      </c>
      <c r="Z59" s="237"/>
      <c r="AA59" s="152"/>
      <c r="AB59" s="152"/>
      <c r="AC59" s="14"/>
      <c r="AD59" s="113"/>
      <c r="AE59" s="156"/>
      <c r="AF59" s="156"/>
      <c r="AG59" s="156"/>
      <c r="AH59" s="156"/>
      <c r="AI59" s="228"/>
      <c r="AJ59" s="228"/>
      <c r="AK59" s="229"/>
      <c r="AL59" s="228"/>
      <c r="AM59" s="229"/>
      <c r="AN59" s="156"/>
    </row>
    <row r="60" spans="1:40" x14ac:dyDescent="0.35">
      <c r="A60" s="407"/>
      <c r="B60" s="521"/>
      <c r="C60" s="15" t="s">
        <v>112</v>
      </c>
      <c r="D60" s="316" t="s">
        <v>72</v>
      </c>
      <c r="E60" s="316" t="s">
        <v>72</v>
      </c>
      <c r="F60" s="50"/>
      <c r="G60" s="307"/>
      <c r="H60" s="293"/>
      <c r="I60" s="293"/>
      <c r="J60" s="307"/>
      <c r="K60" s="293"/>
      <c r="L60" s="293"/>
      <c r="M60" s="406">
        <v>15</v>
      </c>
      <c r="N60" s="414">
        <v>0.56000000000000005</v>
      </c>
      <c r="O60" s="157" t="s">
        <v>231</v>
      </c>
      <c r="P60" s="408" t="s">
        <v>221</v>
      </c>
      <c r="Q60" s="132" t="s">
        <v>231</v>
      </c>
      <c r="R60" s="307"/>
      <c r="S60" s="307"/>
      <c r="T60" s="307"/>
      <c r="U60" s="158"/>
      <c r="V60" s="328">
        <f>F60</f>
        <v>0</v>
      </c>
      <c r="W60" s="293"/>
      <c r="X60" s="293"/>
      <c r="Y60" s="453"/>
      <c r="Z60" s="448">
        <v>0.8</v>
      </c>
      <c r="AA60" s="157" t="s">
        <v>231</v>
      </c>
      <c r="AB60" s="52"/>
      <c r="AC60" s="302" t="s">
        <v>221</v>
      </c>
      <c r="AD60" s="132" t="s">
        <v>231</v>
      </c>
      <c r="AE60" s="307"/>
      <c r="AF60" s="307"/>
      <c r="AG60" s="158"/>
      <c r="AH60" s="328">
        <f t="shared" ref="AH60:AH65" si="44">F60</f>
        <v>0</v>
      </c>
      <c r="AI60" s="293"/>
      <c r="AJ60" s="293"/>
      <c r="AK60" s="230"/>
      <c r="AL60" s="293"/>
      <c r="AM60" s="230"/>
      <c r="AN60" s="110"/>
    </row>
    <row r="61" spans="1:40" x14ac:dyDescent="0.35">
      <c r="A61" s="407"/>
      <c r="B61" s="521"/>
      <c r="C61" s="15" t="s">
        <v>113</v>
      </c>
      <c r="D61" s="316" t="s">
        <v>72</v>
      </c>
      <c r="E61" s="316" t="s">
        <v>72</v>
      </c>
      <c r="F61" s="50"/>
      <c r="G61" s="307"/>
      <c r="H61" s="293"/>
      <c r="I61" s="293"/>
      <c r="J61" s="307"/>
      <c r="K61" s="293"/>
      <c r="L61" s="293"/>
      <c r="M61" s="407"/>
      <c r="N61" s="415"/>
      <c r="O61" s="157" t="s">
        <v>231</v>
      </c>
      <c r="P61" s="409"/>
      <c r="Q61" s="132" t="s">
        <v>231</v>
      </c>
      <c r="R61" s="307"/>
      <c r="S61" s="307"/>
      <c r="T61" s="307"/>
      <c r="U61" s="158"/>
      <c r="V61" s="240">
        <f>F61</f>
        <v>0</v>
      </c>
      <c r="W61" s="293"/>
      <c r="X61" s="293"/>
      <c r="Y61" s="453"/>
      <c r="Z61" s="449"/>
      <c r="AA61" s="157" t="s">
        <v>231</v>
      </c>
      <c r="AB61" s="52"/>
      <c r="AC61" s="302"/>
      <c r="AD61" s="132" t="s">
        <v>231</v>
      </c>
      <c r="AE61" s="307"/>
      <c r="AF61" s="307"/>
      <c r="AG61" s="158"/>
      <c r="AH61" s="240">
        <f t="shared" si="44"/>
        <v>0</v>
      </c>
      <c r="AI61" s="293"/>
      <c r="AJ61" s="293"/>
      <c r="AK61" s="230"/>
      <c r="AL61" s="293"/>
      <c r="AM61" s="230"/>
      <c r="AN61" s="110"/>
    </row>
    <row r="62" spans="1:40" x14ac:dyDescent="0.35">
      <c r="A62" s="407"/>
      <c r="B62" s="521"/>
      <c r="C62" s="19" t="s">
        <v>114</v>
      </c>
      <c r="D62" s="316" t="s">
        <v>72</v>
      </c>
      <c r="E62" s="316" t="s">
        <v>72</v>
      </c>
      <c r="F62" s="119" t="e">
        <f>SUM(F60:F61)/D2</f>
        <v>#DIV/0!</v>
      </c>
      <c r="G62" s="159">
        <f>T62</f>
        <v>5.6000000000000001E-2</v>
      </c>
      <c r="H62" s="161" t="e">
        <f>W62</f>
        <v>#DIV/0!</v>
      </c>
      <c r="I62" s="46" t="e">
        <f>X62</f>
        <v>#DIV/0!</v>
      </c>
      <c r="J62" s="231">
        <f>AF62</f>
        <v>0.2</v>
      </c>
      <c r="K62" s="293" t="e">
        <f>AI62</f>
        <v>#DIV/0!</v>
      </c>
      <c r="L62" s="195" t="e">
        <f>AJ62</f>
        <v>#DIV/0!</v>
      </c>
      <c r="M62" s="407"/>
      <c r="N62" s="415"/>
      <c r="O62" s="296">
        <v>0.65</v>
      </c>
      <c r="P62" s="409"/>
      <c r="Q62" s="302">
        <v>5.6000000000000001E-2</v>
      </c>
      <c r="R62" s="78">
        <v>5</v>
      </c>
      <c r="S62" s="78" t="e">
        <f>(V60+V61)/D2</f>
        <v>#DIV/0!</v>
      </c>
      <c r="T62" s="159">
        <f>Q62</f>
        <v>5.6000000000000001E-2</v>
      </c>
      <c r="U62" s="158"/>
      <c r="V62" s="160" t="e">
        <f>S62</f>
        <v>#DIV/0!</v>
      </c>
      <c r="W62" s="161" t="e">
        <f>IF(V62/Q62*R62&gt;R62*2,R62*2,V62/Q62*R62)</f>
        <v>#DIV/0!</v>
      </c>
      <c r="X62" s="46" t="e">
        <f>W62/R62</f>
        <v>#DIV/0!</v>
      </c>
      <c r="Y62" s="453"/>
      <c r="Z62" s="449"/>
      <c r="AA62" s="296">
        <v>0.7</v>
      </c>
      <c r="AB62" s="52"/>
      <c r="AC62" s="302"/>
      <c r="AD62" s="302">
        <v>0.2</v>
      </c>
      <c r="AE62" s="307">
        <f>Y59*Z60*AA62</f>
        <v>5.6</v>
      </c>
      <c r="AF62" s="231">
        <f>AD62</f>
        <v>0.2</v>
      </c>
      <c r="AG62" s="158"/>
      <c r="AH62" s="160" t="e">
        <f t="shared" si="44"/>
        <v>#DIV/0!</v>
      </c>
      <c r="AI62" s="293" t="e">
        <f>IF(AH62/AF62*AE62&gt;AE62*2,AE62*2,AH62/AF62*AE62)</f>
        <v>#DIV/0!</v>
      </c>
      <c r="AJ62" s="195" t="e">
        <f>AI62/AE62</f>
        <v>#DIV/0!</v>
      </c>
      <c r="AK62" s="196" t="e">
        <f>AH62/AF62*AE62</f>
        <v>#DIV/0!</v>
      </c>
      <c r="AL62" s="195" t="e">
        <f>AK62/AE62</f>
        <v>#DIV/0!</v>
      </c>
      <c r="AM62" s="204">
        <f>2*AE62</f>
        <v>11.2</v>
      </c>
      <c r="AN62" s="110"/>
    </row>
    <row r="63" spans="1:40" x14ac:dyDescent="0.35">
      <c r="A63" s="407"/>
      <c r="B63" s="521"/>
      <c r="C63" s="19" t="s">
        <v>138</v>
      </c>
      <c r="D63" s="316" t="s">
        <v>43</v>
      </c>
      <c r="E63" s="316" t="s">
        <v>72</v>
      </c>
      <c r="F63" s="50"/>
      <c r="G63" s="319"/>
      <c r="H63" s="319"/>
      <c r="I63" s="319"/>
      <c r="J63" s="162"/>
      <c r="K63" s="293"/>
      <c r="L63" s="293"/>
      <c r="M63" s="407"/>
      <c r="N63" s="415"/>
      <c r="O63" s="297" t="s">
        <v>231</v>
      </c>
      <c r="P63" s="409"/>
      <c r="Q63" s="319"/>
      <c r="R63" s="319"/>
      <c r="S63" s="319"/>
      <c r="T63" s="319"/>
      <c r="U63" s="319"/>
      <c r="V63" s="319"/>
      <c r="W63" s="319"/>
      <c r="X63" s="319"/>
      <c r="Y63" s="453"/>
      <c r="Z63" s="449"/>
      <c r="AA63" s="295"/>
      <c r="AB63" s="52"/>
      <c r="AC63" s="302" t="s">
        <v>231</v>
      </c>
      <c r="AD63" s="132" t="s">
        <v>231</v>
      </c>
      <c r="AE63" s="302"/>
      <c r="AF63" s="162"/>
      <c r="AG63" s="162"/>
      <c r="AH63" s="240">
        <f t="shared" si="44"/>
        <v>0</v>
      </c>
      <c r="AI63" s="293"/>
      <c r="AJ63" s="293"/>
      <c r="AK63" s="230"/>
      <c r="AL63" s="293"/>
      <c r="AM63" s="230"/>
      <c r="AN63" s="110"/>
    </row>
    <row r="64" spans="1:40" x14ac:dyDescent="0.35">
      <c r="A64" s="454"/>
      <c r="B64" s="522"/>
      <c r="C64" s="19" t="s">
        <v>139</v>
      </c>
      <c r="D64" s="316" t="s">
        <v>43</v>
      </c>
      <c r="E64" s="316" t="s">
        <v>72</v>
      </c>
      <c r="F64" s="120" t="e">
        <f>F63/SUM(F60:F61)</f>
        <v>#DIV/0!</v>
      </c>
      <c r="G64" s="319"/>
      <c r="H64" s="319"/>
      <c r="I64" s="319"/>
      <c r="J64" s="232">
        <f>AF64</f>
        <v>0.25</v>
      </c>
      <c r="K64" s="293" t="e">
        <f>AI64</f>
        <v>#DIV/0!</v>
      </c>
      <c r="L64" s="195" t="e">
        <f>AJ64</f>
        <v>#DIV/0!</v>
      </c>
      <c r="M64" s="407"/>
      <c r="N64" s="415"/>
      <c r="O64" s="297" t="s">
        <v>231</v>
      </c>
      <c r="P64" s="409"/>
      <c r="Q64" s="319"/>
      <c r="R64" s="319"/>
      <c r="S64" s="319"/>
      <c r="T64" s="319"/>
      <c r="U64" s="319"/>
      <c r="V64" s="319"/>
      <c r="W64" s="319"/>
      <c r="X64" s="319"/>
      <c r="Y64" s="453"/>
      <c r="Z64" s="450"/>
      <c r="AA64" s="295">
        <v>0.3</v>
      </c>
      <c r="AB64" s="52"/>
      <c r="AC64" s="299" t="s">
        <v>256</v>
      </c>
      <c r="AD64" s="305">
        <v>0.25</v>
      </c>
      <c r="AE64" s="302">
        <f>Y59*AA64*Z60</f>
        <v>2.4000000000000004</v>
      </c>
      <c r="AF64" s="232">
        <f>AD64</f>
        <v>0.25</v>
      </c>
      <c r="AG64" s="162"/>
      <c r="AH64" s="173" t="e">
        <f t="shared" si="44"/>
        <v>#DIV/0!</v>
      </c>
      <c r="AI64" s="293" t="e">
        <f>IF(AH64/AF64*AE64&gt;AE64*2,AE64*2,AH64/AF64*AE64)</f>
        <v>#DIV/0!</v>
      </c>
      <c r="AJ64" s="195" t="e">
        <f>AI64/AE64</f>
        <v>#DIV/0!</v>
      </c>
      <c r="AK64" s="196" t="e">
        <f>AH64/AF64*AE64</f>
        <v>#DIV/0!</v>
      </c>
      <c r="AL64" s="195" t="e">
        <f>AK64/AE64</f>
        <v>#DIV/0!</v>
      </c>
      <c r="AM64" s="204">
        <f>2*AE64</f>
        <v>4.8000000000000007</v>
      </c>
      <c r="AN64" s="110"/>
    </row>
    <row r="65" spans="1:40" x14ac:dyDescent="0.35">
      <c r="A65" s="302">
        <v>2</v>
      </c>
      <c r="B65" s="308" t="s">
        <v>115</v>
      </c>
      <c r="C65" s="16" t="s">
        <v>116</v>
      </c>
      <c r="D65" s="316" t="s">
        <v>72</v>
      </c>
      <c r="E65" s="316" t="s">
        <v>72</v>
      </c>
      <c r="F65" s="50"/>
      <c r="G65" s="162"/>
      <c r="H65" s="293"/>
      <c r="I65" s="293"/>
      <c r="J65" s="162"/>
      <c r="K65" s="293"/>
      <c r="L65" s="293"/>
      <c r="M65" s="407"/>
      <c r="N65" s="415"/>
      <c r="O65" s="297" t="s">
        <v>231</v>
      </c>
      <c r="P65" s="410"/>
      <c r="Q65" s="302" t="s">
        <v>231</v>
      </c>
      <c r="R65" s="301"/>
      <c r="S65" s="162"/>
      <c r="T65" s="162"/>
      <c r="U65" s="162"/>
      <c r="V65" s="240">
        <f t="shared" ref="V65:V76" si="45">F65</f>
        <v>0</v>
      </c>
      <c r="W65" s="293"/>
      <c r="X65" s="293"/>
      <c r="Y65" s="453"/>
      <c r="Z65" s="238">
        <v>0</v>
      </c>
      <c r="AA65" s="297"/>
      <c r="AB65" s="52"/>
      <c r="AC65" s="299"/>
      <c r="AD65" s="302"/>
      <c r="AE65" s="302"/>
      <c r="AF65" s="162"/>
      <c r="AG65" s="162"/>
      <c r="AH65" s="240">
        <f t="shared" si="44"/>
        <v>0</v>
      </c>
      <c r="AI65" s="293"/>
      <c r="AJ65" s="293"/>
      <c r="AK65" s="230"/>
      <c r="AL65" s="293"/>
      <c r="AM65" s="230"/>
      <c r="AN65" s="110"/>
    </row>
    <row r="66" spans="1:40" x14ac:dyDescent="0.35">
      <c r="A66" s="515">
        <v>3</v>
      </c>
      <c r="B66" s="510" t="s">
        <v>117</v>
      </c>
      <c r="C66" s="19" t="s">
        <v>118</v>
      </c>
      <c r="D66" s="316" t="s">
        <v>72</v>
      </c>
      <c r="E66" s="316" t="s">
        <v>43</v>
      </c>
      <c r="F66" s="50"/>
      <c r="G66" s="97"/>
      <c r="H66" s="307"/>
      <c r="I66" s="307"/>
      <c r="J66" s="156"/>
      <c r="K66" s="228"/>
      <c r="L66" s="171"/>
      <c r="M66" s="407"/>
      <c r="N66" s="415"/>
      <c r="O66" s="411">
        <v>0.1</v>
      </c>
      <c r="P66" s="16"/>
      <c r="Q66" s="279" t="s">
        <v>231</v>
      </c>
      <c r="R66" s="78"/>
      <c r="S66" s="97"/>
      <c r="T66" s="97"/>
      <c r="U66" s="97"/>
      <c r="V66" s="240">
        <f t="shared" si="45"/>
        <v>0</v>
      </c>
      <c r="W66" s="307"/>
      <c r="X66" s="307"/>
      <c r="Y66" s="453"/>
      <c r="Z66" s="239"/>
      <c r="AA66" s="156"/>
      <c r="AB66" s="156"/>
      <c r="AC66" s="156"/>
      <c r="AD66" s="31"/>
      <c r="AE66" s="176"/>
      <c r="AF66" s="156"/>
      <c r="AG66" s="156"/>
      <c r="AH66" s="156"/>
      <c r="AI66" s="228"/>
      <c r="AJ66" s="171"/>
      <c r="AK66" s="233"/>
      <c r="AL66" s="171"/>
      <c r="AM66" s="233"/>
      <c r="AN66" s="176"/>
    </row>
    <row r="67" spans="1:40" x14ac:dyDescent="0.35">
      <c r="A67" s="515"/>
      <c r="B67" s="510"/>
      <c r="C67" s="19" t="s">
        <v>119</v>
      </c>
      <c r="D67" s="316" t="s">
        <v>72</v>
      </c>
      <c r="E67" s="316" t="s">
        <v>43</v>
      </c>
      <c r="F67" s="119" t="e">
        <f>F66/D2</f>
        <v>#DIV/0!</v>
      </c>
      <c r="G67" s="164">
        <f>T67</f>
        <v>1.5</v>
      </c>
      <c r="H67" s="158" t="e">
        <f>W67</f>
        <v>#DIV/0!</v>
      </c>
      <c r="I67" s="46" t="e">
        <f>X67</f>
        <v>#DIV/0!</v>
      </c>
      <c r="J67" s="156"/>
      <c r="K67" s="228"/>
      <c r="L67" s="171"/>
      <c r="M67" s="407"/>
      <c r="N67" s="415"/>
      <c r="O67" s="412"/>
      <c r="P67" s="279" t="s">
        <v>240</v>
      </c>
      <c r="Q67" s="279">
        <v>1.5</v>
      </c>
      <c r="R67" s="163">
        <v>1</v>
      </c>
      <c r="S67" s="78" t="e">
        <f>V66/D2</f>
        <v>#DIV/0!</v>
      </c>
      <c r="T67" s="164">
        <f>Q67</f>
        <v>1.5</v>
      </c>
      <c r="U67" s="307" t="e">
        <f>R67/S67</f>
        <v>#DIV/0!</v>
      </c>
      <c r="V67" s="160" t="e">
        <f t="shared" si="45"/>
        <v>#DIV/0!</v>
      </c>
      <c r="W67" s="158" t="e">
        <f>IF(V67/Q67*R67&gt;R67*2,R67*2,V67/Q67*R67)</f>
        <v>#DIV/0!</v>
      </c>
      <c r="X67" s="46" t="e">
        <f>W67/R67</f>
        <v>#DIV/0!</v>
      </c>
      <c r="Y67" s="453"/>
      <c r="Z67" s="239"/>
      <c r="AA67" s="156"/>
      <c r="AB67" s="156"/>
      <c r="AC67" s="156"/>
      <c r="AD67" s="31"/>
      <c r="AE67" s="176"/>
      <c r="AF67" s="156"/>
      <c r="AG67" s="156"/>
      <c r="AH67" s="156"/>
      <c r="AI67" s="228"/>
      <c r="AJ67" s="171"/>
      <c r="AK67" s="233"/>
      <c r="AL67" s="171"/>
      <c r="AM67" s="233"/>
      <c r="AN67" s="176"/>
    </row>
    <row r="68" spans="1:40" x14ac:dyDescent="0.35">
      <c r="A68" s="515"/>
      <c r="B68" s="510"/>
      <c r="C68" s="19" t="s">
        <v>120</v>
      </c>
      <c r="D68" s="316" t="s">
        <v>72</v>
      </c>
      <c r="E68" s="316" t="s">
        <v>43</v>
      </c>
      <c r="F68" s="50"/>
      <c r="G68" s="307"/>
      <c r="H68" s="307"/>
      <c r="I68" s="167"/>
      <c r="J68" s="156"/>
      <c r="K68" s="228"/>
      <c r="L68" s="171"/>
      <c r="M68" s="407"/>
      <c r="N68" s="415"/>
      <c r="O68" s="413"/>
      <c r="P68" s="279" t="s">
        <v>231</v>
      </c>
      <c r="Q68" s="279" t="s">
        <v>231</v>
      </c>
      <c r="R68" s="165" t="s">
        <v>231</v>
      </c>
      <c r="S68" s="307" t="str">
        <f>Q68</f>
        <v>-</v>
      </c>
      <c r="T68" s="307"/>
      <c r="U68" s="166" t="s">
        <v>231</v>
      </c>
      <c r="V68" s="240">
        <f t="shared" si="45"/>
        <v>0</v>
      </c>
      <c r="W68" s="307"/>
      <c r="X68" s="167"/>
      <c r="Y68" s="453"/>
      <c r="Z68" s="239"/>
      <c r="AA68" s="156"/>
      <c r="AB68" s="156"/>
      <c r="AC68" s="156"/>
      <c r="AD68" s="31"/>
      <c r="AE68" s="176"/>
      <c r="AF68" s="156"/>
      <c r="AG68" s="156"/>
      <c r="AH68" s="156"/>
      <c r="AI68" s="228"/>
      <c r="AJ68" s="171"/>
      <c r="AK68" s="233"/>
      <c r="AL68" s="171"/>
      <c r="AM68" s="233"/>
      <c r="AN68" s="176"/>
    </row>
    <row r="69" spans="1:40" x14ac:dyDescent="0.35">
      <c r="A69" s="515">
        <v>4</v>
      </c>
      <c r="B69" s="510" t="s">
        <v>121</v>
      </c>
      <c r="C69" s="19" t="s">
        <v>122</v>
      </c>
      <c r="D69" s="316" t="s">
        <v>72</v>
      </c>
      <c r="E69" s="316" t="s">
        <v>43</v>
      </c>
      <c r="F69" s="119" t="e">
        <f>General!D47/D2</f>
        <v>#DIV/0!</v>
      </c>
      <c r="G69" s="164">
        <f>T69</f>
        <v>3</v>
      </c>
      <c r="H69" s="307" t="e">
        <f>W69</f>
        <v>#DIV/0!</v>
      </c>
      <c r="I69" s="46" t="e">
        <f>X69</f>
        <v>#DIV/0!</v>
      </c>
      <c r="J69" s="156"/>
      <c r="K69" s="228"/>
      <c r="L69" s="171"/>
      <c r="M69" s="407"/>
      <c r="N69" s="415"/>
      <c r="O69" s="411">
        <v>0.1</v>
      </c>
      <c r="P69" s="168" t="s">
        <v>241</v>
      </c>
      <c r="Q69" s="302">
        <v>3</v>
      </c>
      <c r="R69" s="78">
        <v>1</v>
      </c>
      <c r="S69" s="78" t="e">
        <f>General!D52/D2</f>
        <v>#DIV/0!</v>
      </c>
      <c r="T69" s="164">
        <f>Q69</f>
        <v>3</v>
      </c>
      <c r="U69" s="307"/>
      <c r="V69" s="169" t="e">
        <f t="shared" si="45"/>
        <v>#DIV/0!</v>
      </c>
      <c r="W69" s="307" t="e">
        <f>IF(V69/Q69*R69&gt;R69*2,R69*2,V69/Q69*R69)</f>
        <v>#DIV/0!</v>
      </c>
      <c r="X69" s="46" t="e">
        <f>W69/R69</f>
        <v>#DIV/0!</v>
      </c>
      <c r="Y69" s="453"/>
      <c r="Z69" s="239"/>
      <c r="AA69" s="156"/>
      <c r="AB69" s="156"/>
      <c r="AC69" s="156"/>
      <c r="AD69" s="31"/>
      <c r="AE69" s="176"/>
      <c r="AF69" s="156"/>
      <c r="AG69" s="156"/>
      <c r="AH69" s="156"/>
      <c r="AI69" s="228"/>
      <c r="AJ69" s="171"/>
      <c r="AK69" s="233"/>
      <c r="AL69" s="171"/>
      <c r="AM69" s="233"/>
      <c r="AN69" s="176"/>
    </row>
    <row r="70" spans="1:40" x14ac:dyDescent="0.35">
      <c r="A70" s="515"/>
      <c r="B70" s="510"/>
      <c r="C70" s="66" t="s">
        <v>123</v>
      </c>
      <c r="D70" s="316" t="s">
        <v>72</v>
      </c>
      <c r="E70" s="316" t="s">
        <v>43</v>
      </c>
      <c r="F70" s="119" t="e">
        <f>General!D52/General!D47</f>
        <v>#DIV/0!</v>
      </c>
      <c r="G70" s="170">
        <f>T70</f>
        <v>0.25</v>
      </c>
      <c r="H70" s="307"/>
      <c r="I70" s="167"/>
      <c r="J70" s="156"/>
      <c r="K70" s="228"/>
      <c r="L70" s="171"/>
      <c r="M70" s="407"/>
      <c r="N70" s="415"/>
      <c r="O70" s="413"/>
      <c r="P70" s="168" t="s">
        <v>242</v>
      </c>
      <c r="Q70" s="302">
        <v>0.25</v>
      </c>
      <c r="R70" s="78"/>
      <c r="S70" s="307"/>
      <c r="T70" s="170">
        <f>Q70</f>
        <v>0.25</v>
      </c>
      <c r="U70" s="307"/>
      <c r="V70" s="160" t="e">
        <f t="shared" si="45"/>
        <v>#DIV/0!</v>
      </c>
      <c r="W70" s="307"/>
      <c r="X70" s="167"/>
      <c r="Y70" s="453"/>
      <c r="Z70" s="239"/>
      <c r="AA70" s="156"/>
      <c r="AB70" s="156"/>
      <c r="AC70" s="156"/>
      <c r="AD70" s="31"/>
      <c r="AE70" s="176"/>
      <c r="AF70" s="156"/>
      <c r="AG70" s="156"/>
      <c r="AH70" s="156"/>
      <c r="AI70" s="228"/>
      <c r="AJ70" s="171"/>
      <c r="AK70" s="233"/>
      <c r="AL70" s="171"/>
      <c r="AM70" s="233"/>
      <c r="AN70" s="176"/>
    </row>
    <row r="71" spans="1:40" x14ac:dyDescent="0.35">
      <c r="A71" s="515">
        <v>5</v>
      </c>
      <c r="B71" s="510" t="s">
        <v>124</v>
      </c>
      <c r="C71" s="66" t="s">
        <v>125</v>
      </c>
      <c r="D71" s="316" t="s">
        <v>72</v>
      </c>
      <c r="E71" s="316" t="s">
        <v>43</v>
      </c>
      <c r="F71" s="48">
        <f>General!D55</f>
        <v>0</v>
      </c>
      <c r="G71" s="307"/>
      <c r="H71" s="307"/>
      <c r="I71" s="167"/>
      <c r="J71" s="156"/>
      <c r="K71" s="228"/>
      <c r="L71" s="171"/>
      <c r="M71" s="407"/>
      <c r="N71" s="415"/>
      <c r="O71" s="411">
        <v>0.15</v>
      </c>
      <c r="P71" s="168" t="s">
        <v>231</v>
      </c>
      <c r="Q71" s="302" t="s">
        <v>231</v>
      </c>
      <c r="R71" s="78"/>
      <c r="S71" s="307"/>
      <c r="T71" s="307"/>
      <c r="U71" s="307"/>
      <c r="V71" s="171">
        <f t="shared" si="45"/>
        <v>0</v>
      </c>
      <c r="W71" s="307"/>
      <c r="X71" s="167"/>
      <c r="Y71" s="453"/>
      <c r="Z71" s="239"/>
      <c r="AA71" s="156"/>
      <c r="AB71" s="156"/>
      <c r="AC71" s="156"/>
      <c r="AD71" s="31"/>
      <c r="AE71" s="176"/>
      <c r="AF71" s="156"/>
      <c r="AG71" s="156"/>
      <c r="AH71" s="156"/>
      <c r="AI71" s="228"/>
      <c r="AJ71" s="171"/>
      <c r="AK71" s="233"/>
      <c r="AL71" s="171"/>
      <c r="AM71" s="233"/>
      <c r="AN71" s="176"/>
    </row>
    <row r="72" spans="1:40" x14ac:dyDescent="0.35">
      <c r="A72" s="515"/>
      <c r="B72" s="510"/>
      <c r="C72" s="66" t="s">
        <v>126</v>
      </c>
      <c r="D72" s="316" t="s">
        <v>72</v>
      </c>
      <c r="E72" s="316" t="s">
        <v>43</v>
      </c>
      <c r="F72" s="120" t="e">
        <f>F71/General!D52</f>
        <v>#DIV/0!</v>
      </c>
      <c r="G72" s="172">
        <f>T72</f>
        <v>0.1</v>
      </c>
      <c r="H72" s="162" t="e">
        <f>W72</f>
        <v>#DIV/0!</v>
      </c>
      <c r="I72" s="46" t="e">
        <f>X72</f>
        <v>#DIV/0!</v>
      </c>
      <c r="J72" s="156"/>
      <c r="K72" s="228"/>
      <c r="L72" s="171"/>
      <c r="M72" s="407"/>
      <c r="N72" s="416"/>
      <c r="O72" s="413"/>
      <c r="P72" s="168" t="s">
        <v>243</v>
      </c>
      <c r="Q72" s="305">
        <v>0.1</v>
      </c>
      <c r="R72" s="78">
        <v>1.5</v>
      </c>
      <c r="S72" s="307"/>
      <c r="T72" s="172">
        <f>Q72</f>
        <v>0.1</v>
      </c>
      <c r="U72" s="307"/>
      <c r="V72" s="173" t="e">
        <f t="shared" si="45"/>
        <v>#DIV/0!</v>
      </c>
      <c r="W72" s="162" t="e">
        <f>IF(V72/Q72*R72&gt;R72*2,R72*2,V72/Q72*R72)</f>
        <v>#DIV/0!</v>
      </c>
      <c r="X72" s="46" t="e">
        <f>W72/R72</f>
        <v>#DIV/0!</v>
      </c>
      <c r="Y72" s="453"/>
      <c r="Z72" s="239"/>
      <c r="AA72" s="156"/>
      <c r="AB72" s="156"/>
      <c r="AC72" s="156"/>
      <c r="AD72" s="31"/>
      <c r="AE72" s="176"/>
      <c r="AF72" s="156"/>
      <c r="AG72" s="156"/>
      <c r="AH72" s="156"/>
      <c r="AI72" s="228"/>
      <c r="AJ72" s="171"/>
      <c r="AK72" s="233"/>
      <c r="AL72" s="171"/>
      <c r="AM72" s="233"/>
      <c r="AN72" s="176"/>
    </row>
    <row r="73" spans="1:40" x14ac:dyDescent="0.35">
      <c r="A73" s="515">
        <v>6</v>
      </c>
      <c r="B73" s="510" t="s">
        <v>127</v>
      </c>
      <c r="C73" s="19" t="s">
        <v>128</v>
      </c>
      <c r="D73" s="316" t="s">
        <v>72</v>
      </c>
      <c r="E73" s="316" t="s">
        <v>43</v>
      </c>
      <c r="F73" s="50"/>
      <c r="G73" s="307"/>
      <c r="H73" s="307"/>
      <c r="I73" s="167"/>
      <c r="J73" s="156"/>
      <c r="K73" s="228"/>
      <c r="L73" s="171"/>
      <c r="M73" s="407"/>
      <c r="N73" s="411">
        <v>0.34</v>
      </c>
      <c r="O73" s="167"/>
      <c r="P73" s="279" t="s">
        <v>231</v>
      </c>
      <c r="Q73" s="302" t="s">
        <v>231</v>
      </c>
      <c r="R73" s="78"/>
      <c r="S73" s="307"/>
      <c r="T73" s="307"/>
      <c r="U73" s="307"/>
      <c r="V73" s="240">
        <f t="shared" si="45"/>
        <v>0</v>
      </c>
      <c r="W73" s="307"/>
      <c r="X73" s="167"/>
      <c r="Y73" s="453"/>
      <c r="Z73" s="239"/>
      <c r="AA73" s="156"/>
      <c r="AB73" s="156"/>
      <c r="AC73" s="156"/>
      <c r="AD73" s="31"/>
      <c r="AE73" s="176"/>
      <c r="AF73" s="156"/>
      <c r="AG73" s="156"/>
      <c r="AH73" s="156"/>
      <c r="AI73" s="228"/>
      <c r="AJ73" s="171"/>
      <c r="AK73" s="233"/>
      <c r="AL73" s="171"/>
      <c r="AM73" s="233"/>
      <c r="AN73" s="176"/>
    </row>
    <row r="74" spans="1:40" x14ac:dyDescent="0.35">
      <c r="A74" s="515"/>
      <c r="B74" s="510"/>
      <c r="C74" s="19" t="s">
        <v>129</v>
      </c>
      <c r="D74" s="316" t="s">
        <v>72</v>
      </c>
      <c r="E74" s="316" t="s">
        <v>43</v>
      </c>
      <c r="F74" s="120" t="e">
        <f>F73/General!D52</f>
        <v>#DIV/0!</v>
      </c>
      <c r="G74" s="172">
        <f>T74</f>
        <v>0.5</v>
      </c>
      <c r="H74" s="78" t="e">
        <f>W74</f>
        <v>#DIV/0!</v>
      </c>
      <c r="I74" s="46" t="e">
        <f>X74</f>
        <v>#DIV/0!</v>
      </c>
      <c r="J74" s="156"/>
      <c r="K74" s="228"/>
      <c r="L74" s="171"/>
      <c r="M74" s="407"/>
      <c r="N74" s="412"/>
      <c r="O74" s="167">
        <v>0.6</v>
      </c>
      <c r="P74" s="279" t="s">
        <v>243</v>
      </c>
      <c r="Q74" s="305">
        <v>0.5</v>
      </c>
      <c r="R74" s="78">
        <v>3</v>
      </c>
      <c r="S74" s="307"/>
      <c r="T74" s="172">
        <f>Q74</f>
        <v>0.5</v>
      </c>
      <c r="U74" s="307"/>
      <c r="V74" s="173" t="e">
        <f t="shared" si="45"/>
        <v>#DIV/0!</v>
      </c>
      <c r="W74" s="78" t="e">
        <f>IF(V74/Q74*R74&gt;R74*2,R74*2,V74/Q74*R74)</f>
        <v>#DIV/0!</v>
      </c>
      <c r="X74" s="46" t="e">
        <f>W74/R74</f>
        <v>#DIV/0!</v>
      </c>
      <c r="Y74" s="453"/>
      <c r="Z74" s="239"/>
      <c r="AA74" s="156"/>
      <c r="AB74" s="156"/>
      <c r="AC74" s="156"/>
      <c r="AD74" s="31"/>
      <c r="AE74" s="176"/>
      <c r="AF74" s="156"/>
      <c r="AG74" s="156"/>
      <c r="AH74" s="156"/>
      <c r="AI74" s="228"/>
      <c r="AJ74" s="171"/>
      <c r="AK74" s="233"/>
      <c r="AL74" s="171"/>
      <c r="AM74" s="233"/>
      <c r="AN74" s="176"/>
    </row>
    <row r="75" spans="1:40" ht="15" customHeight="1" x14ac:dyDescent="0.35">
      <c r="A75" s="515">
        <v>7</v>
      </c>
      <c r="B75" s="516" t="s">
        <v>130</v>
      </c>
      <c r="C75" s="19" t="s">
        <v>131</v>
      </c>
      <c r="D75" s="316" t="s">
        <v>72</v>
      </c>
      <c r="E75" s="316" t="s">
        <v>43</v>
      </c>
      <c r="F75" s="50"/>
      <c r="G75" s="307"/>
      <c r="H75" s="307"/>
      <c r="I75" s="167"/>
      <c r="J75" s="156"/>
      <c r="K75" s="228"/>
      <c r="L75" s="171"/>
      <c r="M75" s="407"/>
      <c r="N75" s="412"/>
      <c r="O75" s="167"/>
      <c r="P75" s="279" t="s">
        <v>231</v>
      </c>
      <c r="Q75" s="302" t="s">
        <v>231</v>
      </c>
      <c r="R75" s="78"/>
      <c r="S75" s="307"/>
      <c r="T75" s="307"/>
      <c r="U75" s="307"/>
      <c r="V75" s="240">
        <f t="shared" si="45"/>
        <v>0</v>
      </c>
      <c r="W75" s="307"/>
      <c r="X75" s="167"/>
      <c r="Y75" s="453"/>
      <c r="Z75" s="239"/>
      <c r="AA75" s="156"/>
      <c r="AB75" s="156"/>
      <c r="AC75" s="156"/>
      <c r="AD75" s="31"/>
      <c r="AE75" s="176"/>
      <c r="AF75" s="156"/>
      <c r="AG75" s="156"/>
      <c r="AH75" s="156"/>
      <c r="AI75" s="228"/>
      <c r="AJ75" s="171"/>
      <c r="AK75" s="233"/>
      <c r="AL75" s="171"/>
      <c r="AM75" s="233"/>
      <c r="AN75" s="176"/>
    </row>
    <row r="76" spans="1:40" x14ac:dyDescent="0.35">
      <c r="A76" s="515"/>
      <c r="B76" s="516"/>
      <c r="C76" s="19" t="s">
        <v>132</v>
      </c>
      <c r="D76" s="316" t="s">
        <v>72</v>
      </c>
      <c r="E76" s="316" t="s">
        <v>43</v>
      </c>
      <c r="F76" s="120" t="e">
        <f>F75/General!D54</f>
        <v>#DIV/0!</v>
      </c>
      <c r="G76" s="172">
        <f>T76</f>
        <v>0.1</v>
      </c>
      <c r="H76" s="78" t="e">
        <f>W76</f>
        <v>#DIV/0!</v>
      </c>
      <c r="I76" s="46" t="e">
        <f>X76</f>
        <v>#DIV/0!</v>
      </c>
      <c r="J76" s="156"/>
      <c r="K76" s="228"/>
      <c r="L76" s="171"/>
      <c r="M76" s="407"/>
      <c r="N76" s="413"/>
      <c r="O76" s="167">
        <v>0.4</v>
      </c>
      <c r="P76" s="279" t="s">
        <v>243</v>
      </c>
      <c r="Q76" s="304">
        <v>0.1</v>
      </c>
      <c r="R76" s="78">
        <v>2</v>
      </c>
      <c r="S76" s="307"/>
      <c r="T76" s="172">
        <f>Q76</f>
        <v>0.1</v>
      </c>
      <c r="U76" s="307"/>
      <c r="V76" s="173" t="e">
        <f t="shared" si="45"/>
        <v>#DIV/0!</v>
      </c>
      <c r="W76" s="78" t="e">
        <f>IF(V76/Q76*R76&gt;R76*2,R76*2,V76/Q76*R76)</f>
        <v>#DIV/0!</v>
      </c>
      <c r="X76" s="46" t="e">
        <f>W76/R76</f>
        <v>#DIV/0!</v>
      </c>
      <c r="Y76" s="453"/>
      <c r="Z76" s="239"/>
      <c r="AA76" s="156"/>
      <c r="AB76" s="156"/>
      <c r="AC76" s="156"/>
      <c r="AD76" s="31"/>
      <c r="AE76" s="176"/>
      <c r="AF76" s="156"/>
      <c r="AG76" s="156"/>
      <c r="AH76" s="156"/>
      <c r="AI76" s="228"/>
      <c r="AJ76" s="171"/>
      <c r="AK76" s="233"/>
      <c r="AL76" s="171"/>
      <c r="AM76" s="233"/>
      <c r="AN76" s="176"/>
    </row>
    <row r="77" spans="1:40" x14ac:dyDescent="0.35">
      <c r="A77" s="515">
        <v>8</v>
      </c>
      <c r="B77" s="510" t="s">
        <v>133</v>
      </c>
      <c r="C77" s="67" t="s">
        <v>134</v>
      </c>
      <c r="D77" s="315"/>
      <c r="E77" s="315"/>
      <c r="F77" s="48"/>
      <c r="G77" s="176"/>
      <c r="H77" s="176"/>
      <c r="I77" s="177"/>
      <c r="J77" s="156"/>
      <c r="K77" s="228"/>
      <c r="L77" s="171"/>
      <c r="M77" s="407"/>
      <c r="N77" s="411">
        <v>0.1</v>
      </c>
      <c r="O77" s="177"/>
      <c r="P77" s="437" t="s">
        <v>244</v>
      </c>
      <c r="Q77" s="174"/>
      <c r="R77" s="175"/>
      <c r="S77" s="176"/>
      <c r="T77" s="176"/>
      <c r="U77" s="176"/>
      <c r="V77" s="171"/>
      <c r="W77" s="176"/>
      <c r="X77" s="177"/>
      <c r="Y77" s="453"/>
      <c r="Z77" s="239"/>
      <c r="AA77" s="156"/>
      <c r="AB77" s="156"/>
      <c r="AC77" s="156"/>
      <c r="AD77" s="31"/>
      <c r="AE77" s="176"/>
      <c r="AF77" s="156"/>
      <c r="AG77" s="156"/>
      <c r="AH77" s="156"/>
      <c r="AI77" s="228"/>
      <c r="AJ77" s="171"/>
      <c r="AK77" s="233"/>
      <c r="AL77" s="171"/>
      <c r="AM77" s="233"/>
      <c r="AN77" s="176"/>
    </row>
    <row r="78" spans="1:40" x14ac:dyDescent="0.35">
      <c r="A78" s="515"/>
      <c r="B78" s="510"/>
      <c r="C78" s="18" t="s">
        <v>135</v>
      </c>
      <c r="D78" s="316" t="s">
        <v>72</v>
      </c>
      <c r="E78" s="316" t="s">
        <v>72</v>
      </c>
      <c r="F78" s="50"/>
      <c r="G78" s="178">
        <f>T78</f>
        <v>0</v>
      </c>
      <c r="H78" s="307" t="e">
        <f t="shared" ref="H78:I80" si="46">W78</f>
        <v>#DIV/0!</v>
      </c>
      <c r="I78" s="46" t="e">
        <f t="shared" si="46"/>
        <v>#DIV/0!</v>
      </c>
      <c r="J78" s="234">
        <f>AF78</f>
        <v>0</v>
      </c>
      <c r="K78" s="293" t="e">
        <f t="shared" ref="K78:L80" si="47">AI78</f>
        <v>#DIV/0!</v>
      </c>
      <c r="L78" s="195" t="e">
        <f t="shared" si="47"/>
        <v>#DIV/0!</v>
      </c>
      <c r="M78" s="407"/>
      <c r="N78" s="412"/>
      <c r="O78" s="167">
        <v>0.6</v>
      </c>
      <c r="P78" s="438"/>
      <c r="Q78" s="33">
        <v>6</v>
      </c>
      <c r="R78" s="78">
        <f>M60*N77*O78</f>
        <v>0.89999999999999991</v>
      </c>
      <c r="S78" s="307"/>
      <c r="T78" s="178">
        <f>ROUNDUP(Q78*$D$2/1500,0)</f>
        <v>0</v>
      </c>
      <c r="U78" s="307">
        <f>R78/Q78</f>
        <v>0.15</v>
      </c>
      <c r="V78" s="240">
        <f>F78</f>
        <v>0</v>
      </c>
      <c r="W78" s="307" t="e">
        <f>IF(V78/T78*R78&gt;R78*2,R78*2,V78/T78*R78)</f>
        <v>#DIV/0!</v>
      </c>
      <c r="X78" s="46" t="e">
        <f>W78/R78</f>
        <v>#DIV/0!</v>
      </c>
      <c r="Y78" s="453"/>
      <c r="Z78" s="451">
        <v>0.2</v>
      </c>
      <c r="AA78" s="167">
        <v>0.8</v>
      </c>
      <c r="AB78" s="52"/>
      <c r="AC78" s="303" t="s">
        <v>234</v>
      </c>
      <c r="AD78" s="302">
        <v>50</v>
      </c>
      <c r="AE78" s="307">
        <f>Y59*Z78*AA78</f>
        <v>1.6</v>
      </c>
      <c r="AF78" s="234">
        <f>IF(ROUNDUP(AD78*$D$2/1500,0)&gt;AD78,AD78,ROUNDUP(AD78*$D$2/1500,0))</f>
        <v>0</v>
      </c>
      <c r="AG78" s="307" t="e">
        <f>AE78/AF78</f>
        <v>#DIV/0!</v>
      </c>
      <c r="AH78" s="240">
        <f>F78</f>
        <v>0</v>
      </c>
      <c r="AI78" s="293" t="e">
        <f>IF(AH78/AF78*AE78&gt;AE78,AE78,AH78/AF78*AE78)</f>
        <v>#DIV/0!</v>
      </c>
      <c r="AJ78" s="195" t="e">
        <f>AI78/AE78</f>
        <v>#DIV/0!</v>
      </c>
      <c r="AK78" s="196" t="e">
        <f>AH78/AF78*AE78</f>
        <v>#DIV/0!</v>
      </c>
      <c r="AL78" s="195" t="e">
        <f>AK78/AE78</f>
        <v>#DIV/0!</v>
      </c>
      <c r="AM78" s="204">
        <f>AE78</f>
        <v>1.6</v>
      </c>
      <c r="AN78" s="110"/>
    </row>
    <row r="79" spans="1:40" x14ac:dyDescent="0.35">
      <c r="A79" s="515"/>
      <c r="B79" s="510"/>
      <c r="C79" s="18" t="s">
        <v>136</v>
      </c>
      <c r="D79" s="316" t="s">
        <v>72</v>
      </c>
      <c r="E79" s="316" t="s">
        <v>72</v>
      </c>
      <c r="F79" s="50"/>
      <c r="G79" s="178">
        <f>T79</f>
        <v>0</v>
      </c>
      <c r="H79" s="307" t="e">
        <f t="shared" si="46"/>
        <v>#DIV/0!</v>
      </c>
      <c r="I79" s="46" t="e">
        <f t="shared" si="46"/>
        <v>#DIV/0!</v>
      </c>
      <c r="J79" s="234">
        <f>AF79</f>
        <v>0</v>
      </c>
      <c r="K79" s="293" t="e">
        <f t="shared" si="47"/>
        <v>#DIV/0!</v>
      </c>
      <c r="L79" s="195" t="e">
        <f t="shared" si="47"/>
        <v>#DIV/0!</v>
      </c>
      <c r="M79" s="407"/>
      <c r="N79" s="413"/>
      <c r="O79" s="167">
        <v>0.4</v>
      </c>
      <c r="P79" s="439"/>
      <c r="Q79" s="33">
        <v>4</v>
      </c>
      <c r="R79" s="78">
        <f>M60*N77*O79</f>
        <v>0.60000000000000009</v>
      </c>
      <c r="S79" s="307"/>
      <c r="T79" s="178">
        <f>ROUNDUP(Q79*$D$2/1500,0)</f>
        <v>0</v>
      </c>
      <c r="U79" s="307">
        <f>R79/Q79</f>
        <v>0.15000000000000002</v>
      </c>
      <c r="V79" s="240">
        <f>F79</f>
        <v>0</v>
      </c>
      <c r="W79" s="307" t="e">
        <f>IF(V79/T79*R79&gt;R79*2,R79*2,V79/T79*R79)</f>
        <v>#DIV/0!</v>
      </c>
      <c r="X79" s="46" t="e">
        <f>W79/R79</f>
        <v>#DIV/0!</v>
      </c>
      <c r="Y79" s="453"/>
      <c r="Z79" s="452"/>
      <c r="AA79" s="167">
        <v>0.2</v>
      </c>
      <c r="AB79" s="52"/>
      <c r="AC79" s="303" t="s">
        <v>234</v>
      </c>
      <c r="AD79" s="302">
        <v>50</v>
      </c>
      <c r="AE79" s="307">
        <f>Y59*Z78*AA79</f>
        <v>0.4</v>
      </c>
      <c r="AF79" s="234">
        <f>IF(ROUNDUP(AD79*$D$2/1500,0)&gt;AD79,AD79,ROUNDUP(AD79*$D$2/1500,0))</f>
        <v>0</v>
      </c>
      <c r="AG79" s="307" t="e">
        <f>AE79/AF79</f>
        <v>#DIV/0!</v>
      </c>
      <c r="AH79" s="240">
        <f>F79</f>
        <v>0</v>
      </c>
      <c r="AI79" s="293" t="e">
        <f>IF(AH79/AF79*AE79&gt;AE79,AE79,AH79/AF79*AE79)</f>
        <v>#DIV/0!</v>
      </c>
      <c r="AJ79" s="195" t="e">
        <f>AI79/AE79</f>
        <v>#DIV/0!</v>
      </c>
      <c r="AK79" s="196" t="e">
        <f>AH79/AF79*AE79</f>
        <v>#DIV/0!</v>
      </c>
      <c r="AL79" s="195" t="e">
        <f>AK79/AE79</f>
        <v>#DIV/0!</v>
      </c>
      <c r="AM79" s="204">
        <f>AE79</f>
        <v>0.4</v>
      </c>
      <c r="AN79" s="110"/>
    </row>
    <row r="80" spans="1:40" x14ac:dyDescent="0.35">
      <c r="A80" s="526" t="s">
        <v>137</v>
      </c>
      <c r="B80" s="527"/>
      <c r="C80" s="528"/>
      <c r="H80" s="182" t="e">
        <f t="shared" si="46"/>
        <v>#DIV/0!</v>
      </c>
      <c r="I80" s="46" t="e">
        <f t="shared" si="46"/>
        <v>#DIV/0!</v>
      </c>
      <c r="K80" s="79" t="e">
        <f t="shared" si="47"/>
        <v>#DIV/0!</v>
      </c>
      <c r="L80" s="195" t="e">
        <f t="shared" si="47"/>
        <v>#DIV/0!</v>
      </c>
      <c r="M80" s="92">
        <f>SUM(M60:M66)</f>
        <v>15</v>
      </c>
      <c r="N80" s="180">
        <f>SUM(N60:N79)</f>
        <v>1.0000000000000002</v>
      </c>
      <c r="O80" s="181"/>
      <c r="P80" s="181"/>
      <c r="Q80" s="181"/>
      <c r="R80" s="179">
        <f>SUM(R60:R79)</f>
        <v>15</v>
      </c>
      <c r="S80" s="181"/>
      <c r="T80" s="181"/>
      <c r="U80" s="181"/>
      <c r="V80" s="181"/>
      <c r="W80" s="182" t="e">
        <f>SUM(W60:W79)</f>
        <v>#DIV/0!</v>
      </c>
      <c r="X80" s="46" t="e">
        <f>W80/R80</f>
        <v>#DIV/0!</v>
      </c>
      <c r="Y80" s="92">
        <f>SUM(Y59:Y68)</f>
        <v>10</v>
      </c>
      <c r="Z80" s="89">
        <f>SUM(Z60:Z78)</f>
        <v>1</v>
      </c>
      <c r="AA80" s="188"/>
      <c r="AB80" s="188"/>
      <c r="AC80" s="188"/>
      <c r="AD80" s="188"/>
      <c r="AE80" s="92">
        <f>SUM(AE60:AE79)</f>
        <v>10</v>
      </c>
      <c r="AF80" s="188"/>
      <c r="AG80" s="188"/>
      <c r="AH80" s="188"/>
      <c r="AI80" s="79" t="e">
        <f>SUM(AI60:AI79)</f>
        <v>#DIV/0!</v>
      </c>
      <c r="AJ80" s="195" t="e">
        <f>AI80/AE80</f>
        <v>#DIV/0!</v>
      </c>
      <c r="AK80" s="235" t="e">
        <f>IF(SUM(AK62:AK79)&gt;AM80,AM80,SUM(AK62:AK79))</f>
        <v>#DIV/0!</v>
      </c>
      <c r="AL80" s="195" t="e">
        <f>AK80/AE80</f>
        <v>#DIV/0!</v>
      </c>
      <c r="AM80" s="236">
        <f>SUM(AM59:AM79)</f>
        <v>18</v>
      </c>
      <c r="AN80" s="110"/>
    </row>
    <row r="82" spans="1:40" x14ac:dyDescent="0.35">
      <c r="A82" s="523" t="s">
        <v>207</v>
      </c>
      <c r="B82" s="523"/>
      <c r="C82" s="523"/>
      <c r="D82" s="523"/>
      <c r="E82" s="523"/>
      <c r="F82" s="523"/>
      <c r="G82" s="341" t="s">
        <v>70</v>
      </c>
      <c r="H82" s="342"/>
      <c r="I82" s="343"/>
      <c r="J82" s="423" t="s">
        <v>71</v>
      </c>
      <c r="K82" s="424"/>
      <c r="L82" s="425"/>
      <c r="M82" s="417" t="s">
        <v>70</v>
      </c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335" t="s">
        <v>71</v>
      </c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</row>
    <row r="83" spans="1:40" ht="29" x14ac:dyDescent="0.35">
      <c r="A83" s="68" t="s">
        <v>43</v>
      </c>
      <c r="B83" s="68" t="s">
        <v>44</v>
      </c>
      <c r="C83" s="68" t="s">
        <v>45</v>
      </c>
      <c r="D83" s="292" t="s">
        <v>70</v>
      </c>
      <c r="E83" s="64" t="s">
        <v>71</v>
      </c>
      <c r="F83" s="41" t="s">
        <v>2</v>
      </c>
      <c r="G83" s="183" t="s">
        <v>76</v>
      </c>
      <c r="H83" s="83" t="s">
        <v>63</v>
      </c>
      <c r="I83" s="83" t="s">
        <v>223</v>
      </c>
      <c r="J83" s="189" t="s">
        <v>76</v>
      </c>
      <c r="K83" s="3" t="s">
        <v>63</v>
      </c>
      <c r="L83" s="3" t="s">
        <v>223</v>
      </c>
      <c r="M83" s="68" t="s">
        <v>63</v>
      </c>
      <c r="N83" s="68" t="s">
        <v>64</v>
      </c>
      <c r="O83" s="68" t="s">
        <v>73</v>
      </c>
      <c r="P83" s="68" t="s">
        <v>218</v>
      </c>
      <c r="Q83" s="72" t="s">
        <v>74</v>
      </c>
      <c r="R83" s="72" t="s">
        <v>224</v>
      </c>
      <c r="S83" s="183" t="s">
        <v>76</v>
      </c>
      <c r="T83" s="73" t="s">
        <v>81</v>
      </c>
      <c r="U83" s="74" t="s">
        <v>214</v>
      </c>
      <c r="V83" s="83" t="s">
        <v>215</v>
      </c>
      <c r="W83" s="83" t="s">
        <v>79</v>
      </c>
      <c r="Y83" s="292" t="s">
        <v>63</v>
      </c>
      <c r="Z83" s="292" t="s">
        <v>64</v>
      </c>
      <c r="AA83" s="292" t="s">
        <v>73</v>
      </c>
      <c r="AB83" s="292" t="s">
        <v>227</v>
      </c>
      <c r="AC83" s="292" t="s">
        <v>218</v>
      </c>
      <c r="AD83" s="24" t="s">
        <v>74</v>
      </c>
      <c r="AE83" s="24" t="s">
        <v>245</v>
      </c>
      <c r="AF83" s="189" t="s">
        <v>76</v>
      </c>
      <c r="AG83" s="3" t="s">
        <v>81</v>
      </c>
      <c r="AH83" s="41" t="s">
        <v>2</v>
      </c>
      <c r="AI83" s="3" t="s">
        <v>246</v>
      </c>
      <c r="AJ83" s="3" t="s">
        <v>79</v>
      </c>
      <c r="AK83" s="190" t="s">
        <v>247</v>
      </c>
      <c r="AL83" s="191" t="s">
        <v>248</v>
      </c>
      <c r="AM83" s="191" t="s">
        <v>251</v>
      </c>
      <c r="AN83" s="258" t="s">
        <v>252</v>
      </c>
    </row>
    <row r="84" spans="1:40" x14ac:dyDescent="0.35">
      <c r="A84" s="427">
        <v>1</v>
      </c>
      <c r="B84" s="532" t="s">
        <v>140</v>
      </c>
      <c r="C84" s="7" t="s">
        <v>141</v>
      </c>
      <c r="D84" s="316" t="s">
        <v>72</v>
      </c>
      <c r="E84" s="316" t="s">
        <v>72</v>
      </c>
      <c r="F84" s="48">
        <f>SUM(F85:F86)</f>
        <v>0</v>
      </c>
      <c r="G84" s="400"/>
      <c r="H84" s="283"/>
      <c r="I84" s="184"/>
      <c r="J84" s="400"/>
      <c r="K84" s="60"/>
      <c r="L84" s="184"/>
      <c r="M84" s="398">
        <v>10</v>
      </c>
      <c r="N84" s="426" t="s">
        <v>231</v>
      </c>
      <c r="O84" s="426" t="s">
        <v>231</v>
      </c>
      <c r="P84" s="428" t="s">
        <v>231</v>
      </c>
      <c r="Q84" s="428" t="s">
        <v>231</v>
      </c>
      <c r="R84" s="431" t="s">
        <v>231</v>
      </c>
      <c r="S84" s="400"/>
      <c r="T84" s="283"/>
      <c r="U84" s="48">
        <f t="shared" ref="U84:U96" si="48">F84</f>
        <v>0</v>
      </c>
      <c r="V84" s="283"/>
      <c r="W84" s="184"/>
      <c r="Y84" s="369">
        <v>15</v>
      </c>
      <c r="Z84" s="284" t="s">
        <v>231</v>
      </c>
      <c r="AA84" s="284" t="s">
        <v>231</v>
      </c>
      <c r="AB84" s="374"/>
      <c r="AC84" s="280" t="s">
        <v>231</v>
      </c>
      <c r="AD84" s="280" t="s">
        <v>231</v>
      </c>
      <c r="AE84" s="282" t="s">
        <v>231</v>
      </c>
      <c r="AF84" s="400"/>
      <c r="AG84" s="283"/>
      <c r="AH84" s="48">
        <f t="shared" ref="AH84:AH96" si="49">F84</f>
        <v>0</v>
      </c>
      <c r="AI84" s="60"/>
      <c r="AJ84" s="195"/>
      <c r="AK84" s="204"/>
      <c r="AL84" s="195"/>
      <c r="AM84" s="204"/>
      <c r="AN84" s="260"/>
    </row>
    <row r="85" spans="1:40" x14ac:dyDescent="0.35">
      <c r="A85" s="427"/>
      <c r="B85" s="532"/>
      <c r="C85" s="62" t="s">
        <v>142</v>
      </c>
      <c r="D85" s="316" t="s">
        <v>72</v>
      </c>
      <c r="E85" s="316" t="s">
        <v>72</v>
      </c>
      <c r="F85" s="50"/>
      <c r="G85" s="401"/>
      <c r="H85" s="283"/>
      <c r="I85" s="184"/>
      <c r="J85" s="401"/>
      <c r="K85" s="60"/>
      <c r="L85" s="184"/>
      <c r="M85" s="398"/>
      <c r="N85" s="427"/>
      <c r="O85" s="427"/>
      <c r="P85" s="429"/>
      <c r="Q85" s="429"/>
      <c r="R85" s="432"/>
      <c r="S85" s="401"/>
      <c r="T85" s="283"/>
      <c r="U85" s="318">
        <f t="shared" si="48"/>
        <v>0</v>
      </c>
      <c r="V85" s="283"/>
      <c r="W85" s="184"/>
      <c r="Y85" s="370"/>
      <c r="Z85" s="290"/>
      <c r="AA85" s="290"/>
      <c r="AB85" s="399"/>
      <c r="AC85" s="281"/>
      <c r="AD85" s="281"/>
      <c r="AE85" s="283"/>
      <c r="AF85" s="401"/>
      <c r="AG85" s="283"/>
      <c r="AH85" s="318">
        <f t="shared" si="49"/>
        <v>0</v>
      </c>
      <c r="AI85" s="60"/>
      <c r="AJ85" s="195"/>
      <c r="AK85" s="204"/>
      <c r="AL85" s="195"/>
      <c r="AM85" s="204"/>
      <c r="AN85" s="260"/>
    </row>
    <row r="86" spans="1:40" x14ac:dyDescent="0.35">
      <c r="A86" s="427"/>
      <c r="B86" s="532"/>
      <c r="C86" s="62" t="s">
        <v>143</v>
      </c>
      <c r="D86" s="316" t="s">
        <v>72</v>
      </c>
      <c r="E86" s="316" t="s">
        <v>72</v>
      </c>
      <c r="F86" s="50"/>
      <c r="G86" s="402"/>
      <c r="H86" s="45"/>
      <c r="I86" s="184"/>
      <c r="J86" s="402"/>
      <c r="K86" s="45"/>
      <c r="L86" s="184"/>
      <c r="M86" s="398"/>
      <c r="N86" s="427"/>
      <c r="O86" s="427"/>
      <c r="P86" s="429"/>
      <c r="Q86" s="429"/>
      <c r="R86" s="432"/>
      <c r="S86" s="402"/>
      <c r="T86" s="185"/>
      <c r="U86" s="317">
        <f t="shared" si="48"/>
        <v>0</v>
      </c>
      <c r="V86" s="45"/>
      <c r="W86" s="184"/>
      <c r="Y86" s="370"/>
      <c r="Z86" s="290"/>
      <c r="AA86" s="290"/>
      <c r="AB86" s="375"/>
      <c r="AC86" s="281"/>
      <c r="AD86" s="281"/>
      <c r="AE86" s="283"/>
      <c r="AF86" s="402"/>
      <c r="AG86" s="185"/>
      <c r="AH86" s="317">
        <f t="shared" si="49"/>
        <v>0</v>
      </c>
      <c r="AI86" s="45"/>
      <c r="AJ86" s="195"/>
      <c r="AK86" s="204"/>
      <c r="AL86" s="195"/>
      <c r="AM86" s="204"/>
      <c r="AN86" s="260"/>
    </row>
    <row r="87" spans="1:40" x14ac:dyDescent="0.35">
      <c r="A87" s="427"/>
      <c r="B87" s="532"/>
      <c r="C87" s="7" t="s">
        <v>144</v>
      </c>
      <c r="D87" s="316" t="s">
        <v>72</v>
      </c>
      <c r="E87" s="316" t="s">
        <v>72</v>
      </c>
      <c r="F87" s="48">
        <f>SUM(F88:F89)</f>
        <v>0</v>
      </c>
      <c r="G87" s="403"/>
      <c r="H87" s="45"/>
      <c r="I87" s="184"/>
      <c r="J87" s="403"/>
      <c r="K87" s="45"/>
      <c r="L87" s="184"/>
      <c r="M87" s="398"/>
      <c r="N87" s="426" t="s">
        <v>231</v>
      </c>
      <c r="O87" s="426" t="s">
        <v>231</v>
      </c>
      <c r="P87" s="428" t="s">
        <v>231</v>
      </c>
      <c r="Q87" s="428" t="s">
        <v>231</v>
      </c>
      <c r="R87" s="435" t="s">
        <v>231</v>
      </c>
      <c r="S87" s="403"/>
      <c r="T87" s="185"/>
      <c r="U87" s="42">
        <f t="shared" si="48"/>
        <v>0</v>
      </c>
      <c r="V87" s="45"/>
      <c r="W87" s="184"/>
      <c r="Y87" s="370"/>
      <c r="Z87" s="284" t="s">
        <v>231</v>
      </c>
      <c r="AA87" s="284" t="s">
        <v>231</v>
      </c>
      <c r="AB87" s="374"/>
      <c r="AC87" s="280" t="s">
        <v>231</v>
      </c>
      <c r="AD87" s="280" t="s">
        <v>231</v>
      </c>
      <c r="AE87" s="287" t="s">
        <v>231</v>
      </c>
      <c r="AF87" s="403"/>
      <c r="AG87" s="185"/>
      <c r="AH87" s="42">
        <f t="shared" si="49"/>
        <v>0</v>
      </c>
      <c r="AI87" s="45"/>
      <c r="AJ87" s="195"/>
      <c r="AK87" s="204"/>
      <c r="AL87" s="195"/>
      <c r="AM87" s="204"/>
      <c r="AN87" s="260"/>
    </row>
    <row r="88" spans="1:40" x14ac:dyDescent="0.35">
      <c r="A88" s="427"/>
      <c r="B88" s="532"/>
      <c r="C88" s="62" t="s">
        <v>142</v>
      </c>
      <c r="D88" s="316" t="s">
        <v>72</v>
      </c>
      <c r="E88" s="316" t="s">
        <v>72</v>
      </c>
      <c r="F88" s="50"/>
      <c r="G88" s="404"/>
      <c r="H88" s="45"/>
      <c r="I88" s="184"/>
      <c r="J88" s="404"/>
      <c r="K88" s="45"/>
      <c r="L88" s="184"/>
      <c r="M88" s="398"/>
      <c r="N88" s="433"/>
      <c r="O88" s="433"/>
      <c r="P88" s="434"/>
      <c r="Q88" s="434"/>
      <c r="R88" s="436"/>
      <c r="S88" s="404"/>
      <c r="T88" s="185"/>
      <c r="U88" s="318">
        <f t="shared" si="48"/>
        <v>0</v>
      </c>
      <c r="V88" s="45"/>
      <c r="W88" s="184"/>
      <c r="Y88" s="370"/>
      <c r="Z88" s="285"/>
      <c r="AA88" s="285"/>
      <c r="AB88" s="399"/>
      <c r="AC88" s="286"/>
      <c r="AD88" s="286"/>
      <c r="AE88" s="288"/>
      <c r="AF88" s="404"/>
      <c r="AG88" s="185"/>
      <c r="AH88" s="318">
        <f t="shared" si="49"/>
        <v>0</v>
      </c>
      <c r="AI88" s="45"/>
      <c r="AJ88" s="195"/>
      <c r="AK88" s="204"/>
      <c r="AL88" s="195"/>
      <c r="AM88" s="204"/>
      <c r="AN88" s="260"/>
    </row>
    <row r="89" spans="1:40" x14ac:dyDescent="0.35">
      <c r="A89" s="427"/>
      <c r="B89" s="532"/>
      <c r="C89" s="62" t="s">
        <v>143</v>
      </c>
      <c r="D89" s="316" t="s">
        <v>72</v>
      </c>
      <c r="E89" s="316" t="s">
        <v>72</v>
      </c>
      <c r="F89" s="50"/>
      <c r="G89" s="405"/>
      <c r="H89" s="45"/>
      <c r="I89" s="184"/>
      <c r="J89" s="405"/>
      <c r="K89" s="45"/>
      <c r="L89" s="184"/>
      <c r="M89" s="398"/>
      <c r="N89" s="433"/>
      <c r="O89" s="433"/>
      <c r="P89" s="434"/>
      <c r="Q89" s="434"/>
      <c r="R89" s="436"/>
      <c r="S89" s="405"/>
      <c r="T89" s="185"/>
      <c r="U89" s="318">
        <f t="shared" si="48"/>
        <v>0</v>
      </c>
      <c r="V89" s="45"/>
      <c r="W89" s="184"/>
      <c r="Y89" s="370"/>
      <c r="Z89" s="285"/>
      <c r="AA89" s="285"/>
      <c r="AB89" s="375"/>
      <c r="AC89" s="286"/>
      <c r="AD89" s="286"/>
      <c r="AE89" s="288"/>
      <c r="AF89" s="405"/>
      <c r="AG89" s="185"/>
      <c r="AH89" s="318">
        <f t="shared" si="49"/>
        <v>0</v>
      </c>
      <c r="AI89" s="45"/>
      <c r="AJ89" s="195"/>
      <c r="AK89" s="204"/>
      <c r="AL89" s="195"/>
      <c r="AM89" s="204"/>
      <c r="AN89" s="260"/>
    </row>
    <row r="90" spans="1:40" x14ac:dyDescent="0.35">
      <c r="A90" s="427"/>
      <c r="B90" s="532"/>
      <c r="C90" s="7" t="s">
        <v>145</v>
      </c>
      <c r="D90" s="316" t="s">
        <v>72</v>
      </c>
      <c r="E90" s="316" t="s">
        <v>72</v>
      </c>
      <c r="F90" s="48">
        <f>F84</f>
        <v>0</v>
      </c>
      <c r="G90" s="123">
        <f t="shared" ref="G90:G96" si="50">S90</f>
        <v>0</v>
      </c>
      <c r="H90" s="45" t="e">
        <f t="shared" ref="H90:I95" si="51">V90</f>
        <v>#DIV/0!</v>
      </c>
      <c r="I90" s="46" t="e">
        <f t="shared" si="51"/>
        <v>#DIV/0!</v>
      </c>
      <c r="J90" s="212">
        <f t="shared" ref="J90:J96" si="52">AF90</f>
        <v>0</v>
      </c>
      <c r="K90" s="45" t="e">
        <f t="shared" ref="K90:L97" si="53">AI90</f>
        <v>#DIV/0!</v>
      </c>
      <c r="L90" s="46" t="e">
        <f t="shared" si="53"/>
        <v>#DIV/0!</v>
      </c>
      <c r="M90" s="398"/>
      <c r="N90" s="291">
        <v>0.2</v>
      </c>
      <c r="O90" s="285">
        <v>1</v>
      </c>
      <c r="P90" s="281" t="s">
        <v>221</v>
      </c>
      <c r="Q90" s="290">
        <v>5.0000000000000001E-3</v>
      </c>
      <c r="R90" s="288">
        <f>M84*N90</f>
        <v>2</v>
      </c>
      <c r="S90" s="123">
        <f t="shared" ref="S90:S95" si="54">ROUNDUP(Q90*$D$2,0)</f>
        <v>0</v>
      </c>
      <c r="T90" s="58" t="e">
        <f>R90/S90</f>
        <v>#DIV/0!</v>
      </c>
      <c r="U90" s="48">
        <f t="shared" si="48"/>
        <v>0</v>
      </c>
      <c r="V90" s="45" t="e">
        <f>IF(U90/S90*R90&gt;R90,R90,U90/S90*R90)</f>
        <v>#DIV/0!</v>
      </c>
      <c r="W90" s="46" t="e">
        <f>V90/R90</f>
        <v>#DIV/0!</v>
      </c>
      <c r="Y90" s="370"/>
      <c r="Z90" s="291">
        <v>0.2</v>
      </c>
      <c r="AA90" s="285">
        <v>1</v>
      </c>
      <c r="AB90" s="52"/>
      <c r="AC90" s="281" t="s">
        <v>221</v>
      </c>
      <c r="AD90" s="290">
        <v>0.01</v>
      </c>
      <c r="AE90" s="288">
        <f>Y84*Z90</f>
        <v>3</v>
      </c>
      <c r="AF90" s="212">
        <f t="shared" ref="AF90:AF95" si="55">ROUNDUP(AD90*$D$2,0)</f>
        <v>0</v>
      </c>
      <c r="AG90" s="58" t="e">
        <f>AE90/AF90</f>
        <v>#DIV/0!</v>
      </c>
      <c r="AH90" s="48">
        <f t="shared" si="49"/>
        <v>0</v>
      </c>
      <c r="AI90" s="45" t="e">
        <f>IF(AH90/AF90*AE90&gt;AE90*2,AE90*2,AH90/AF90*AE90)</f>
        <v>#DIV/0!</v>
      </c>
      <c r="AJ90" s="195" t="e">
        <f t="shared" ref="AJ90:AJ95" si="56">AI90/AE90</f>
        <v>#DIV/0!</v>
      </c>
      <c r="AK90" s="196" t="e">
        <f t="shared" ref="AK90:AK95" si="57">AH90/AF90*AE90</f>
        <v>#DIV/0!</v>
      </c>
      <c r="AL90" s="195" t="e">
        <f t="shared" ref="AL90:AL95" si="58">AK90/AE90</f>
        <v>#DIV/0!</v>
      </c>
      <c r="AM90" s="241">
        <f>2*AE90</f>
        <v>6</v>
      </c>
      <c r="AN90" s="261"/>
    </row>
    <row r="91" spans="1:40" x14ac:dyDescent="0.35">
      <c r="A91" s="427"/>
      <c r="B91" s="532"/>
      <c r="C91" s="7" t="s">
        <v>146</v>
      </c>
      <c r="D91" s="316" t="s">
        <v>72</v>
      </c>
      <c r="E91" s="316" t="s">
        <v>72</v>
      </c>
      <c r="F91" s="48">
        <f>F87</f>
        <v>0</v>
      </c>
      <c r="G91" s="123">
        <f t="shared" si="50"/>
        <v>0</v>
      </c>
      <c r="H91" s="45" t="e">
        <f t="shared" si="51"/>
        <v>#DIV/0!</v>
      </c>
      <c r="I91" s="46" t="e">
        <f t="shared" si="51"/>
        <v>#DIV/0!</v>
      </c>
      <c r="J91" s="212">
        <f t="shared" si="52"/>
        <v>0</v>
      </c>
      <c r="K91" s="45" t="e">
        <f t="shared" si="53"/>
        <v>#DIV/0!</v>
      </c>
      <c r="L91" s="46" t="e">
        <f t="shared" si="53"/>
        <v>#DIV/0!</v>
      </c>
      <c r="M91" s="398"/>
      <c r="N91" s="291">
        <v>0.1</v>
      </c>
      <c r="O91" s="285">
        <v>1</v>
      </c>
      <c r="P91" s="281" t="s">
        <v>221</v>
      </c>
      <c r="Q91" s="290">
        <v>0.02</v>
      </c>
      <c r="R91" s="283">
        <f>M84*N91</f>
        <v>1</v>
      </c>
      <c r="S91" s="123">
        <f t="shared" si="54"/>
        <v>0</v>
      </c>
      <c r="T91" s="58" t="e">
        <f t="shared" ref="T91:T95" si="59">R91/S91</f>
        <v>#DIV/0!</v>
      </c>
      <c r="U91" s="42">
        <f t="shared" si="48"/>
        <v>0</v>
      </c>
      <c r="V91" s="45" t="e">
        <f>IF(U91/S91*R91&gt;R91,R91,U91/S91*R91)</f>
        <v>#DIV/0!</v>
      </c>
      <c r="W91" s="46" t="e">
        <f t="shared" ref="W91:W95" si="60">V91/R91</f>
        <v>#DIV/0!</v>
      </c>
      <c r="Y91" s="370"/>
      <c r="Z91" s="291">
        <v>0.1</v>
      </c>
      <c r="AA91" s="285">
        <v>1</v>
      </c>
      <c r="AB91" s="52"/>
      <c r="AC91" s="281" t="s">
        <v>221</v>
      </c>
      <c r="AD91" s="290">
        <v>0.04</v>
      </c>
      <c r="AE91" s="283">
        <f>Y84*Z91</f>
        <v>1.5</v>
      </c>
      <c r="AF91" s="212">
        <f t="shared" si="55"/>
        <v>0</v>
      </c>
      <c r="AG91" s="58" t="e">
        <f>AE91/AF91</f>
        <v>#DIV/0!</v>
      </c>
      <c r="AH91" s="42">
        <f t="shared" si="49"/>
        <v>0</v>
      </c>
      <c r="AI91" s="45" t="e">
        <f>IF(AH91/AF91*AE91&gt;AE91,AE91,AH91/AF91*AE91)</f>
        <v>#DIV/0!</v>
      </c>
      <c r="AJ91" s="195" t="e">
        <f t="shared" si="56"/>
        <v>#DIV/0!</v>
      </c>
      <c r="AK91" s="196" t="e">
        <f>AH91/AF91*AE91</f>
        <v>#DIV/0!</v>
      </c>
      <c r="AL91" s="195" t="e">
        <f t="shared" si="58"/>
        <v>#DIV/0!</v>
      </c>
      <c r="AM91" s="241">
        <f>AE91</f>
        <v>1.5</v>
      </c>
      <c r="AN91" s="261"/>
    </row>
    <row r="92" spans="1:40" x14ac:dyDescent="0.35">
      <c r="A92" s="290">
        <v>2</v>
      </c>
      <c r="B92" s="5" t="s">
        <v>147</v>
      </c>
      <c r="C92" s="7" t="s">
        <v>148</v>
      </c>
      <c r="D92" s="316" t="s">
        <v>72</v>
      </c>
      <c r="E92" s="316" t="s">
        <v>72</v>
      </c>
      <c r="F92" s="50"/>
      <c r="G92" s="123">
        <f t="shared" si="50"/>
        <v>0</v>
      </c>
      <c r="H92" s="45" t="e">
        <f t="shared" si="51"/>
        <v>#DIV/0!</v>
      </c>
      <c r="I92" s="46" t="e">
        <f t="shared" si="51"/>
        <v>#DIV/0!</v>
      </c>
      <c r="J92" s="212">
        <f t="shared" si="52"/>
        <v>0</v>
      </c>
      <c r="K92" s="45" t="e">
        <f t="shared" si="53"/>
        <v>#DIV/0!</v>
      </c>
      <c r="L92" s="46" t="e">
        <f t="shared" si="53"/>
        <v>#DIV/0!</v>
      </c>
      <c r="M92" s="398"/>
      <c r="N92" s="291">
        <v>0.3</v>
      </c>
      <c r="O92" s="285">
        <v>1</v>
      </c>
      <c r="P92" s="286" t="s">
        <v>221</v>
      </c>
      <c r="Q92" s="290">
        <v>2.5000000000000001E-3</v>
      </c>
      <c r="R92" s="283">
        <f>M84*N92</f>
        <v>3</v>
      </c>
      <c r="S92" s="123">
        <f t="shared" si="54"/>
        <v>0</v>
      </c>
      <c r="T92" s="58" t="e">
        <f>R92/S92</f>
        <v>#DIV/0!</v>
      </c>
      <c r="U92" s="318">
        <f t="shared" si="48"/>
        <v>0</v>
      </c>
      <c r="V92" s="45" t="e">
        <f>IF(U92/S92*R92&gt;R92,R92,U92/S92*R92)</f>
        <v>#DIV/0!</v>
      </c>
      <c r="W92" s="46" t="e">
        <f t="shared" si="60"/>
        <v>#DIV/0!</v>
      </c>
      <c r="Y92" s="370"/>
      <c r="Z92" s="291">
        <v>0.3</v>
      </c>
      <c r="AA92" s="285">
        <v>1</v>
      </c>
      <c r="AB92" s="52"/>
      <c r="AC92" s="286" t="s">
        <v>221</v>
      </c>
      <c r="AD92" s="290">
        <v>5.0000000000000001E-3</v>
      </c>
      <c r="AE92" s="283">
        <f>Y84*Z92</f>
        <v>4.5</v>
      </c>
      <c r="AF92" s="212">
        <f t="shared" si="55"/>
        <v>0</v>
      </c>
      <c r="AG92" s="58" t="e">
        <f t="shared" ref="AG92:AG95" si="61">AE92/AF92</f>
        <v>#DIV/0!</v>
      </c>
      <c r="AH92" s="318">
        <f t="shared" si="49"/>
        <v>0</v>
      </c>
      <c r="AI92" s="45" t="e">
        <f>IF(AH92/AF92*AE92&gt;AE92*2,AE92*2,AH92/AF92*AE92)</f>
        <v>#DIV/0!</v>
      </c>
      <c r="AJ92" s="195" t="e">
        <f t="shared" si="56"/>
        <v>#DIV/0!</v>
      </c>
      <c r="AK92" s="196" t="e">
        <f t="shared" si="57"/>
        <v>#DIV/0!</v>
      </c>
      <c r="AL92" s="195" t="e">
        <f t="shared" si="58"/>
        <v>#DIV/0!</v>
      </c>
      <c r="AM92" s="241">
        <f>2*AE92</f>
        <v>9</v>
      </c>
      <c r="AN92" s="261"/>
    </row>
    <row r="93" spans="1:40" x14ac:dyDescent="0.35">
      <c r="A93" s="427">
        <v>3</v>
      </c>
      <c r="B93" s="532" t="s">
        <v>149</v>
      </c>
      <c r="C93" s="7" t="s">
        <v>150</v>
      </c>
      <c r="D93" s="316" t="s">
        <v>72</v>
      </c>
      <c r="E93" s="316" t="s">
        <v>72</v>
      </c>
      <c r="F93" s="50"/>
      <c r="G93" s="123">
        <f t="shared" si="50"/>
        <v>0</v>
      </c>
      <c r="H93" s="45" t="e">
        <f t="shared" si="51"/>
        <v>#DIV/0!</v>
      </c>
      <c r="I93" s="46" t="e">
        <f t="shared" si="51"/>
        <v>#DIV/0!</v>
      </c>
      <c r="J93" s="212">
        <f t="shared" si="52"/>
        <v>0</v>
      </c>
      <c r="K93" s="45" t="e">
        <f t="shared" si="53"/>
        <v>#DIV/0!</v>
      </c>
      <c r="L93" s="46" t="e">
        <f t="shared" si="53"/>
        <v>#DIV/0!</v>
      </c>
      <c r="M93" s="398"/>
      <c r="N93" s="430">
        <v>0.3</v>
      </c>
      <c r="O93" s="285">
        <v>0.5</v>
      </c>
      <c r="P93" s="286" t="s">
        <v>221</v>
      </c>
      <c r="Q93" s="290">
        <v>2.5000000000000001E-3</v>
      </c>
      <c r="R93" s="283">
        <f>M84*N93*O93</f>
        <v>1.5</v>
      </c>
      <c r="S93" s="123">
        <f t="shared" si="54"/>
        <v>0</v>
      </c>
      <c r="T93" s="58" t="e">
        <f t="shared" si="59"/>
        <v>#DIV/0!</v>
      </c>
      <c r="U93" s="318">
        <f t="shared" si="48"/>
        <v>0</v>
      </c>
      <c r="V93" s="45" t="e">
        <f>IF(U93/S93*R93&gt;R93,R93,U93/S93*R93)</f>
        <v>#DIV/0!</v>
      </c>
      <c r="W93" s="46" t="e">
        <f t="shared" si="60"/>
        <v>#DIV/0!</v>
      </c>
      <c r="Y93" s="370"/>
      <c r="Z93" s="357">
        <v>0.3</v>
      </c>
      <c r="AA93" s="285">
        <v>0.5</v>
      </c>
      <c r="AB93" s="52"/>
      <c r="AC93" s="286" t="s">
        <v>221</v>
      </c>
      <c r="AD93" s="290">
        <v>5.0000000000000001E-3</v>
      </c>
      <c r="AE93" s="283">
        <f>Y84*Z93*AA93</f>
        <v>2.25</v>
      </c>
      <c r="AF93" s="212">
        <f t="shared" si="55"/>
        <v>0</v>
      </c>
      <c r="AG93" s="58" t="e">
        <f t="shared" si="61"/>
        <v>#DIV/0!</v>
      </c>
      <c r="AH93" s="318">
        <f t="shared" si="49"/>
        <v>0</v>
      </c>
      <c r="AI93" s="45" t="e">
        <f>IF(AH93/AF93*AE93&gt;AE93*2,AE93*2,AH93/AF93*AE93)</f>
        <v>#DIV/0!</v>
      </c>
      <c r="AJ93" s="195" t="e">
        <f>AI93/AE93</f>
        <v>#DIV/0!</v>
      </c>
      <c r="AK93" s="196" t="e">
        <f>AH93/AF93*AE93</f>
        <v>#DIV/0!</v>
      </c>
      <c r="AL93" s="195" t="e">
        <f t="shared" si="58"/>
        <v>#DIV/0!</v>
      </c>
      <c r="AM93" s="241">
        <f>2*AE93</f>
        <v>4.5</v>
      </c>
      <c r="AN93" s="261"/>
    </row>
    <row r="94" spans="1:40" x14ac:dyDescent="0.35">
      <c r="A94" s="427"/>
      <c r="B94" s="532"/>
      <c r="C94" s="7" t="s">
        <v>151</v>
      </c>
      <c r="D94" s="316" t="s">
        <v>72</v>
      </c>
      <c r="E94" s="316" t="s">
        <v>72</v>
      </c>
      <c r="F94" s="50"/>
      <c r="G94" s="123">
        <f t="shared" si="50"/>
        <v>0</v>
      </c>
      <c r="H94" s="45" t="e">
        <f t="shared" si="51"/>
        <v>#DIV/0!</v>
      </c>
      <c r="I94" s="46" t="e">
        <f t="shared" si="51"/>
        <v>#DIV/0!</v>
      </c>
      <c r="J94" s="212">
        <f t="shared" si="52"/>
        <v>0</v>
      </c>
      <c r="K94" s="45" t="e">
        <f t="shared" si="53"/>
        <v>#DIV/0!</v>
      </c>
      <c r="L94" s="46" t="e">
        <f t="shared" si="53"/>
        <v>#DIV/0!</v>
      </c>
      <c r="M94" s="398"/>
      <c r="N94" s="430"/>
      <c r="O94" s="285">
        <v>0.5</v>
      </c>
      <c r="P94" s="286" t="s">
        <v>221</v>
      </c>
      <c r="Q94" s="290">
        <v>2.5000000000000001E-3</v>
      </c>
      <c r="R94" s="283">
        <f>M84*N93*O94</f>
        <v>1.5</v>
      </c>
      <c r="S94" s="123">
        <f t="shared" si="54"/>
        <v>0</v>
      </c>
      <c r="T94" s="58" t="e">
        <f t="shared" si="59"/>
        <v>#DIV/0!</v>
      </c>
      <c r="U94" s="318">
        <f t="shared" si="48"/>
        <v>0</v>
      </c>
      <c r="V94" s="45" t="e">
        <f>IF(U94/S94*R94&gt;R94,R94,U94/S94*R94)</f>
        <v>#DIV/0!</v>
      </c>
      <c r="W94" s="46" t="e">
        <f t="shared" si="60"/>
        <v>#DIV/0!</v>
      </c>
      <c r="Y94" s="370"/>
      <c r="Z94" s="359"/>
      <c r="AA94" s="285">
        <v>0.5</v>
      </c>
      <c r="AB94" s="52"/>
      <c r="AC94" s="286" t="s">
        <v>221</v>
      </c>
      <c r="AD94" s="290">
        <v>5.0000000000000001E-3</v>
      </c>
      <c r="AE94" s="283">
        <f>Y84*Z93*AA94</f>
        <v>2.25</v>
      </c>
      <c r="AF94" s="212">
        <f t="shared" si="55"/>
        <v>0</v>
      </c>
      <c r="AG94" s="58" t="e">
        <f t="shared" si="61"/>
        <v>#DIV/0!</v>
      </c>
      <c r="AH94" s="318">
        <f t="shared" si="49"/>
        <v>0</v>
      </c>
      <c r="AI94" s="45" t="e">
        <f>IF(AH94/AF94*AE94&gt;AE94*2,AE94*2,AH94/AF94*AE94)</f>
        <v>#DIV/0!</v>
      </c>
      <c r="AJ94" s="195" t="e">
        <f t="shared" si="56"/>
        <v>#DIV/0!</v>
      </c>
      <c r="AK94" s="196" t="e">
        <f t="shared" si="57"/>
        <v>#DIV/0!</v>
      </c>
      <c r="AL94" s="195" t="e">
        <f t="shared" si="58"/>
        <v>#DIV/0!</v>
      </c>
      <c r="AM94" s="241">
        <f>2*AE94</f>
        <v>4.5</v>
      </c>
      <c r="AN94" s="261"/>
    </row>
    <row r="95" spans="1:40" ht="58" x14ac:dyDescent="0.35">
      <c r="A95" s="290">
        <v>4</v>
      </c>
      <c r="B95" s="309" t="s">
        <v>152</v>
      </c>
      <c r="C95" s="7" t="s">
        <v>153</v>
      </c>
      <c r="D95" s="316" t="s">
        <v>72</v>
      </c>
      <c r="E95" s="316" t="s">
        <v>72</v>
      </c>
      <c r="F95" s="50"/>
      <c r="G95" s="123">
        <f t="shared" si="50"/>
        <v>0</v>
      </c>
      <c r="H95" s="45" t="e">
        <f t="shared" si="51"/>
        <v>#DIV/0!</v>
      </c>
      <c r="I95" s="46" t="e">
        <f t="shared" si="51"/>
        <v>#DIV/0!</v>
      </c>
      <c r="J95" s="212">
        <f t="shared" si="52"/>
        <v>0</v>
      </c>
      <c r="K95" s="45" t="e">
        <f t="shared" si="53"/>
        <v>#DIV/0!</v>
      </c>
      <c r="L95" s="46" t="e">
        <f t="shared" si="53"/>
        <v>#DIV/0!</v>
      </c>
      <c r="M95" s="398"/>
      <c r="N95" s="291">
        <v>0.1</v>
      </c>
      <c r="O95" s="285">
        <v>1</v>
      </c>
      <c r="P95" s="286" t="s">
        <v>221</v>
      </c>
      <c r="Q95" s="290">
        <v>0.05</v>
      </c>
      <c r="R95" s="283">
        <f>M84*N95</f>
        <v>1</v>
      </c>
      <c r="S95" s="123">
        <f t="shared" si="54"/>
        <v>0</v>
      </c>
      <c r="T95" s="58" t="e">
        <f t="shared" si="59"/>
        <v>#DIV/0!</v>
      </c>
      <c r="U95" s="318">
        <f t="shared" si="48"/>
        <v>0</v>
      </c>
      <c r="V95" s="45" t="e">
        <f>IF(U95/S95*R95&gt;R95*2,R95*2,U95/S95*R95)</f>
        <v>#DIV/0!</v>
      </c>
      <c r="W95" s="46" t="e">
        <f t="shared" si="60"/>
        <v>#DIV/0!</v>
      </c>
      <c r="Y95" s="370"/>
      <c r="Z95" s="291">
        <v>0.1</v>
      </c>
      <c r="AA95" s="285">
        <v>1</v>
      </c>
      <c r="AB95" s="52"/>
      <c r="AC95" s="286" t="s">
        <v>221</v>
      </c>
      <c r="AD95" s="290">
        <v>0.1</v>
      </c>
      <c r="AE95" s="283">
        <f>Y84*Z95</f>
        <v>1.5</v>
      </c>
      <c r="AF95" s="212">
        <f t="shared" si="55"/>
        <v>0</v>
      </c>
      <c r="AG95" s="58" t="e">
        <f t="shared" si="61"/>
        <v>#DIV/0!</v>
      </c>
      <c r="AH95" s="318">
        <f t="shared" si="49"/>
        <v>0</v>
      </c>
      <c r="AI95" s="45" t="e">
        <f>IF(AH95/AF95*AE95&gt;AE95*2,AE95*2,AH95/AF95*AE95)</f>
        <v>#DIV/0!</v>
      </c>
      <c r="AJ95" s="195" t="e">
        <f t="shared" si="56"/>
        <v>#DIV/0!</v>
      </c>
      <c r="AK95" s="196" t="e">
        <f t="shared" si="57"/>
        <v>#DIV/0!</v>
      </c>
      <c r="AL95" s="195" t="e">
        <f t="shared" si="58"/>
        <v>#DIV/0!</v>
      </c>
      <c r="AM95" s="241">
        <f>2*AE95</f>
        <v>3</v>
      </c>
      <c r="AN95" s="261"/>
    </row>
    <row r="96" spans="1:40" ht="29" x14ac:dyDescent="0.35">
      <c r="A96" s="290">
        <v>5</v>
      </c>
      <c r="B96" s="309" t="s">
        <v>154</v>
      </c>
      <c r="C96" s="7" t="s">
        <v>155</v>
      </c>
      <c r="D96" s="316" t="s">
        <v>72</v>
      </c>
      <c r="E96" s="316" t="s">
        <v>72</v>
      </c>
      <c r="F96" s="50"/>
      <c r="G96" s="186" t="str">
        <f t="shared" si="50"/>
        <v>-</v>
      </c>
      <c r="H96" s="45"/>
      <c r="I96" s="46"/>
      <c r="J96" s="287" t="str">
        <f t="shared" si="52"/>
        <v>-</v>
      </c>
      <c r="K96" s="45" t="str">
        <f t="shared" si="53"/>
        <v>-</v>
      </c>
      <c r="L96" s="46" t="str">
        <f t="shared" si="53"/>
        <v>-</v>
      </c>
      <c r="M96" s="398"/>
      <c r="N96" s="291" t="s">
        <v>231</v>
      </c>
      <c r="O96" s="285" t="s">
        <v>231</v>
      </c>
      <c r="P96" s="286" t="s">
        <v>231</v>
      </c>
      <c r="Q96" s="290" t="s">
        <v>231</v>
      </c>
      <c r="R96" s="283"/>
      <c r="S96" s="186" t="s">
        <v>231</v>
      </c>
      <c r="T96" s="185"/>
      <c r="U96" s="318">
        <f t="shared" si="48"/>
        <v>0</v>
      </c>
      <c r="V96" s="45"/>
      <c r="W96" s="46"/>
      <c r="Y96" s="371"/>
      <c r="Z96" s="291" t="s">
        <v>231</v>
      </c>
      <c r="AA96" s="285" t="s">
        <v>231</v>
      </c>
      <c r="AB96" s="52"/>
      <c r="AC96" s="286" t="s">
        <v>231</v>
      </c>
      <c r="AD96" s="290" t="s">
        <v>231</v>
      </c>
      <c r="AE96" s="283"/>
      <c r="AF96" s="287" t="s">
        <v>231</v>
      </c>
      <c r="AG96" s="185"/>
      <c r="AH96" s="318">
        <f t="shared" si="49"/>
        <v>0</v>
      </c>
      <c r="AI96" s="45" t="s">
        <v>231</v>
      </c>
      <c r="AJ96" s="195" t="s">
        <v>231</v>
      </c>
      <c r="AK96" s="204" t="s">
        <v>231</v>
      </c>
      <c r="AL96" s="195" t="s">
        <v>231</v>
      </c>
      <c r="AM96" s="204"/>
      <c r="AN96" s="260"/>
    </row>
    <row r="97" spans="1:40" x14ac:dyDescent="0.35">
      <c r="A97" s="533" t="s">
        <v>156</v>
      </c>
      <c r="B97" s="533"/>
      <c r="C97" s="533"/>
      <c r="H97" s="82" t="e">
        <f>V97</f>
        <v>#DIV/0!</v>
      </c>
      <c r="I97" s="46" t="e">
        <f>W97</f>
        <v>#DIV/0!</v>
      </c>
      <c r="K97" s="82" t="e">
        <f t="shared" si="53"/>
        <v>#DIV/0!</v>
      </c>
      <c r="L97" s="46" t="e">
        <f t="shared" si="53"/>
        <v>#DIV/0!</v>
      </c>
      <c r="M97" s="92">
        <f>SUM(M84)</f>
        <v>10</v>
      </c>
      <c r="N97" s="89">
        <f>SUM(N84:N96)</f>
        <v>1.0000000000000002</v>
      </c>
      <c r="O97" s="187"/>
      <c r="P97" s="187"/>
      <c r="Q97" s="188"/>
      <c r="R97" s="91">
        <f>SUM(R84:R96)</f>
        <v>10</v>
      </c>
      <c r="S97" s="91"/>
      <c r="T97" s="69"/>
      <c r="U97" s="91"/>
      <c r="V97" s="82" t="e">
        <f>SUM(V90:V96)</f>
        <v>#DIV/0!</v>
      </c>
      <c r="W97" s="46" t="e">
        <f>V97/R97</f>
        <v>#DIV/0!</v>
      </c>
      <c r="Y97" s="92">
        <f>SUM(Y84)</f>
        <v>15</v>
      </c>
      <c r="Z97" s="89">
        <f>SUM(Z84:Z96)</f>
        <v>1.0000000000000002</v>
      </c>
      <c r="AA97" s="187"/>
      <c r="AB97" s="187"/>
      <c r="AC97" s="187"/>
      <c r="AD97" s="188"/>
      <c r="AE97" s="91">
        <f>SUM(AE84:AE96)</f>
        <v>15</v>
      </c>
      <c r="AF97" s="91"/>
      <c r="AG97" s="69"/>
      <c r="AH97" s="91"/>
      <c r="AI97" s="82" t="e">
        <f>SUM(AI90:AI96)</f>
        <v>#DIV/0!</v>
      </c>
      <c r="AJ97" s="195" t="e">
        <f>AI97/AE97</f>
        <v>#DIV/0!</v>
      </c>
      <c r="AK97" s="203" t="e">
        <f>IF(SUM(AK90:AK96)&gt;AM97,AM97,SUM(AK90:AK96))</f>
        <v>#DIV/0!</v>
      </c>
      <c r="AL97" s="195" t="e">
        <f>AK97/AE97</f>
        <v>#DIV/0!</v>
      </c>
      <c r="AM97" s="207">
        <f>SUM(AM84:AM96)</f>
        <v>28.5</v>
      </c>
      <c r="AN97" s="260"/>
    </row>
    <row r="99" spans="1:40" x14ac:dyDescent="0.35">
      <c r="A99" s="523" t="s">
        <v>208</v>
      </c>
      <c r="B99" s="523"/>
      <c r="C99" s="523"/>
      <c r="D99" s="523"/>
      <c r="E99" s="523"/>
      <c r="F99" s="523"/>
      <c r="G99" s="341" t="s">
        <v>70</v>
      </c>
      <c r="H99" s="342"/>
      <c r="I99" s="343"/>
      <c r="J99" s="423" t="s">
        <v>71</v>
      </c>
      <c r="K99" s="424"/>
      <c r="L99" s="425"/>
      <c r="M99" s="417" t="s">
        <v>70</v>
      </c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335" t="s">
        <v>71</v>
      </c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</row>
    <row r="100" spans="1:40" ht="29" x14ac:dyDescent="0.35">
      <c r="A100" s="292" t="s">
        <v>43</v>
      </c>
      <c r="B100" s="292" t="s">
        <v>44</v>
      </c>
      <c r="C100" s="292" t="s">
        <v>45</v>
      </c>
      <c r="D100" s="292" t="s">
        <v>70</v>
      </c>
      <c r="E100" s="64" t="s">
        <v>71</v>
      </c>
      <c r="F100" s="41" t="s">
        <v>2</v>
      </c>
      <c r="G100" s="70" t="s">
        <v>76</v>
      </c>
      <c r="H100" s="75" t="s">
        <v>63</v>
      </c>
      <c r="I100" s="68" t="s">
        <v>223</v>
      </c>
      <c r="J100" s="37" t="s">
        <v>76</v>
      </c>
      <c r="K100" s="3" t="s">
        <v>63</v>
      </c>
      <c r="L100" s="3" t="s">
        <v>223</v>
      </c>
      <c r="M100" s="292" t="s">
        <v>63</v>
      </c>
      <c r="N100" s="292" t="s">
        <v>64</v>
      </c>
      <c r="O100" s="292" t="s">
        <v>211</v>
      </c>
      <c r="P100" s="292" t="s">
        <v>218</v>
      </c>
      <c r="Q100" s="275" t="s">
        <v>76</v>
      </c>
      <c r="R100" s="24" t="s">
        <v>224</v>
      </c>
      <c r="S100" s="3" t="s">
        <v>81</v>
      </c>
      <c r="T100" s="41" t="s">
        <v>214</v>
      </c>
      <c r="U100" s="83" t="s">
        <v>215</v>
      </c>
      <c r="V100" s="83" t="s">
        <v>79</v>
      </c>
      <c r="W100" s="319"/>
      <c r="X100" s="319"/>
      <c r="Y100" s="292" t="s">
        <v>63</v>
      </c>
      <c r="Z100" s="292" t="s">
        <v>64</v>
      </c>
      <c r="AA100" s="292" t="s">
        <v>73</v>
      </c>
      <c r="AB100" s="292" t="s">
        <v>227</v>
      </c>
      <c r="AC100" s="292" t="s">
        <v>218</v>
      </c>
      <c r="AD100" s="24" t="s">
        <v>74</v>
      </c>
      <c r="AE100" s="24" t="s">
        <v>245</v>
      </c>
      <c r="AF100" s="189" t="s">
        <v>76</v>
      </c>
      <c r="AG100" s="3" t="s">
        <v>81</v>
      </c>
      <c r="AH100" s="41" t="s">
        <v>2</v>
      </c>
      <c r="AI100" s="3" t="s">
        <v>246</v>
      </c>
      <c r="AJ100" s="3" t="s">
        <v>79</v>
      </c>
      <c r="AK100" s="190" t="s">
        <v>247</v>
      </c>
      <c r="AL100" s="191" t="s">
        <v>248</v>
      </c>
      <c r="AM100" s="191" t="s">
        <v>251</v>
      </c>
      <c r="AN100" s="258" t="s">
        <v>252</v>
      </c>
    </row>
    <row r="101" spans="1:40" x14ac:dyDescent="0.35">
      <c r="A101" s="369">
        <v>1</v>
      </c>
      <c r="B101" s="529" t="s">
        <v>157</v>
      </c>
      <c r="C101" s="7" t="s">
        <v>158</v>
      </c>
      <c r="D101" s="524" t="s">
        <v>72</v>
      </c>
      <c r="E101" s="524" t="s">
        <v>72</v>
      </c>
      <c r="F101" s="141"/>
      <c r="G101" s="479">
        <f>Q101</f>
        <v>0</v>
      </c>
      <c r="H101" s="481" t="e">
        <f>U101</f>
        <v>#DIV/0!</v>
      </c>
      <c r="I101" s="441" t="e">
        <f>V101</f>
        <v>#DIV/0!</v>
      </c>
      <c r="J101" s="394">
        <f>AF101</f>
        <v>0</v>
      </c>
      <c r="K101" s="360" t="e">
        <f>AI101</f>
        <v>#DIV/0!</v>
      </c>
      <c r="L101" s="347" t="e">
        <f>AJ101</f>
        <v>#DIV/0!</v>
      </c>
      <c r="M101" s="453">
        <v>7</v>
      </c>
      <c r="N101" s="443">
        <v>0.3</v>
      </c>
      <c r="O101" s="443">
        <v>1</v>
      </c>
      <c r="P101" s="484" t="s">
        <v>161</v>
      </c>
      <c r="Q101" s="479">
        <f>6000000*$D$2/1500</f>
        <v>0</v>
      </c>
      <c r="R101" s="488">
        <f>M101*N101</f>
        <v>2.1</v>
      </c>
      <c r="S101" s="487" t="e">
        <f>R101/Q101</f>
        <v>#DIV/0!</v>
      </c>
      <c r="T101" s="327">
        <f t="shared" ref="T101:T112" si="62">F101</f>
        <v>0</v>
      </c>
      <c r="U101" s="481" t="e">
        <f>IF((SUM(T101:T105))/Q101*R101&gt;R101,R101,(SUM(T101:T105))/Q101*R101)</f>
        <v>#DIV/0!</v>
      </c>
      <c r="V101" s="441" t="e">
        <f>U101/R101</f>
        <v>#DIV/0!</v>
      </c>
      <c r="W101" s="319"/>
      <c r="X101" s="319"/>
      <c r="Y101" s="369">
        <v>10</v>
      </c>
      <c r="Z101" s="357">
        <v>0.2</v>
      </c>
      <c r="AA101" s="372">
        <v>1</v>
      </c>
      <c r="AB101" s="374"/>
      <c r="AC101" s="376" t="s">
        <v>161</v>
      </c>
      <c r="AD101" s="379">
        <v>35000000</v>
      </c>
      <c r="AE101" s="381">
        <f>Y101*Z101</f>
        <v>2</v>
      </c>
      <c r="AF101" s="394">
        <f>IF(AD101*$D$2/1500&gt;AD101,AD101,AD101*$D$2/1500)</f>
        <v>0</v>
      </c>
      <c r="AG101" s="396">
        <f>AE101/AD101</f>
        <v>5.7142857142857144E-8</v>
      </c>
      <c r="AH101" s="392">
        <f>SUM(F101:F102)</f>
        <v>0</v>
      </c>
      <c r="AI101" s="360" t="e">
        <f>IF(AH101/AF101*AE101&gt;AE101*2,AE101*2,AH101/AF101*AE101)</f>
        <v>#DIV/0!</v>
      </c>
      <c r="AJ101" s="347" t="e">
        <f>AI101/AE101</f>
        <v>#DIV/0!</v>
      </c>
      <c r="AK101" s="344" t="e">
        <f>AH101/AF101*AE101</f>
        <v>#DIV/0!</v>
      </c>
      <c r="AL101" s="347" t="e">
        <f>AK101/AE101</f>
        <v>#DIV/0!</v>
      </c>
      <c r="AM101" s="350">
        <f>2*AE101</f>
        <v>4</v>
      </c>
      <c r="AN101" s="355"/>
    </row>
    <row r="102" spans="1:40" x14ac:dyDescent="0.35">
      <c r="A102" s="371"/>
      <c r="B102" s="530"/>
      <c r="C102" s="7" t="s">
        <v>159</v>
      </c>
      <c r="D102" s="534"/>
      <c r="E102" s="525"/>
      <c r="F102" s="141"/>
      <c r="G102" s="479"/>
      <c r="H102" s="481"/>
      <c r="I102" s="483"/>
      <c r="J102" s="395"/>
      <c r="K102" s="361"/>
      <c r="L102" s="349"/>
      <c r="M102" s="453"/>
      <c r="N102" s="443"/>
      <c r="O102" s="443"/>
      <c r="P102" s="484"/>
      <c r="Q102" s="479"/>
      <c r="R102" s="488"/>
      <c r="S102" s="487"/>
      <c r="T102" s="327">
        <f t="shared" si="62"/>
        <v>0</v>
      </c>
      <c r="U102" s="481"/>
      <c r="V102" s="483"/>
      <c r="W102" s="319"/>
      <c r="X102" s="319"/>
      <c r="Y102" s="370"/>
      <c r="Z102" s="359"/>
      <c r="AA102" s="373"/>
      <c r="AB102" s="375"/>
      <c r="AC102" s="377"/>
      <c r="AD102" s="380"/>
      <c r="AE102" s="382"/>
      <c r="AF102" s="395"/>
      <c r="AG102" s="397"/>
      <c r="AH102" s="393"/>
      <c r="AI102" s="361"/>
      <c r="AJ102" s="349"/>
      <c r="AK102" s="346"/>
      <c r="AL102" s="349"/>
      <c r="AM102" s="352"/>
      <c r="AN102" s="356"/>
    </row>
    <row r="103" spans="1:40" ht="58" x14ac:dyDescent="0.35">
      <c r="A103" s="289">
        <v>2</v>
      </c>
      <c r="B103" s="5" t="s">
        <v>160</v>
      </c>
      <c r="C103" s="7" t="s">
        <v>161</v>
      </c>
      <c r="D103" s="534"/>
      <c r="E103" s="316" t="s">
        <v>72</v>
      </c>
      <c r="F103" s="334"/>
      <c r="G103" s="479"/>
      <c r="H103" s="481"/>
      <c r="I103" s="483"/>
      <c r="J103" s="244">
        <f>AF103</f>
        <v>0</v>
      </c>
      <c r="K103" s="246" t="e">
        <f>AI103</f>
        <v>#DIV/0!</v>
      </c>
      <c r="L103" s="195" t="e">
        <f>AJ103</f>
        <v>#DIV/0!</v>
      </c>
      <c r="M103" s="453"/>
      <c r="N103" s="443"/>
      <c r="O103" s="443"/>
      <c r="P103" s="484"/>
      <c r="Q103" s="479"/>
      <c r="R103" s="488"/>
      <c r="S103" s="487"/>
      <c r="T103" s="329">
        <f t="shared" si="62"/>
        <v>0</v>
      </c>
      <c r="U103" s="481"/>
      <c r="V103" s="483"/>
      <c r="W103" s="319"/>
      <c r="X103" s="319"/>
      <c r="Y103" s="370"/>
      <c r="Z103" s="291">
        <v>0.05</v>
      </c>
      <c r="AA103" s="285">
        <v>1</v>
      </c>
      <c r="AB103" s="52"/>
      <c r="AC103" s="377"/>
      <c r="AD103" s="242">
        <v>1000000</v>
      </c>
      <c r="AE103" s="243">
        <f>Y101*Z103</f>
        <v>0.5</v>
      </c>
      <c r="AF103" s="244">
        <f>IF(AD103*$D$2/1500&gt;AD103,AD103,AD103*$D$2/1500)</f>
        <v>0</v>
      </c>
      <c r="AG103" s="245">
        <f>AE103/AD103</f>
        <v>4.9999999999999998E-7</v>
      </c>
      <c r="AH103" s="321">
        <f>F103</f>
        <v>0</v>
      </c>
      <c r="AI103" s="246" t="e">
        <f>IF(AH103/AF103*AE103&gt;AE103*2,AE103*2,AH103/AF103*AE103)</f>
        <v>#DIV/0!</v>
      </c>
      <c r="AJ103" s="195" t="e">
        <f>AI103/AE103</f>
        <v>#DIV/0!</v>
      </c>
      <c r="AK103" s="196" t="e">
        <f>AH103/AF103*AE103</f>
        <v>#DIV/0!</v>
      </c>
      <c r="AL103" s="195" t="e">
        <f>AK103/AE103</f>
        <v>#DIV/0!</v>
      </c>
      <c r="AM103" s="241">
        <f>2*AE103</f>
        <v>1</v>
      </c>
      <c r="AN103" s="110"/>
    </row>
    <row r="104" spans="1:40" x14ac:dyDescent="0.35">
      <c r="A104" s="369">
        <v>3</v>
      </c>
      <c r="B104" s="529" t="s">
        <v>162</v>
      </c>
      <c r="C104" s="7" t="s">
        <v>163</v>
      </c>
      <c r="D104" s="534"/>
      <c r="E104" s="524" t="s">
        <v>72</v>
      </c>
      <c r="F104" s="141"/>
      <c r="G104" s="479"/>
      <c r="H104" s="481"/>
      <c r="I104" s="483"/>
      <c r="J104" s="394">
        <f>AF104</f>
        <v>0</v>
      </c>
      <c r="K104" s="360" t="e">
        <f>AI104</f>
        <v>#DIV/0!</v>
      </c>
      <c r="L104" s="347" t="e">
        <f>AJ104</f>
        <v>#DIV/0!</v>
      </c>
      <c r="M104" s="453"/>
      <c r="N104" s="443"/>
      <c r="O104" s="443"/>
      <c r="P104" s="484"/>
      <c r="Q104" s="479"/>
      <c r="R104" s="488"/>
      <c r="S104" s="487"/>
      <c r="T104" s="327">
        <f t="shared" si="62"/>
        <v>0</v>
      </c>
      <c r="U104" s="481"/>
      <c r="V104" s="483"/>
      <c r="W104" s="319"/>
      <c r="X104" s="319"/>
      <c r="Y104" s="370"/>
      <c r="Z104" s="357">
        <v>0.3</v>
      </c>
      <c r="AA104" s="372">
        <v>1</v>
      </c>
      <c r="AB104" s="374"/>
      <c r="AC104" s="377"/>
      <c r="AD104" s="379">
        <v>7000000</v>
      </c>
      <c r="AE104" s="381">
        <f>Y101*Z104</f>
        <v>3</v>
      </c>
      <c r="AF104" s="394">
        <f>IF(AD104*$D$2/1500&gt;AD104,AD104,AD104*$D$2/1500)</f>
        <v>0</v>
      </c>
      <c r="AG104" s="396">
        <f>AE104/AD104</f>
        <v>4.2857142857142857E-7</v>
      </c>
      <c r="AH104" s="392">
        <f>SUM(F104:F105)</f>
        <v>0</v>
      </c>
      <c r="AI104" s="360" t="e">
        <f>IF(AH104/AF104*AE104&gt;AE104*2,AE104*2,AH104/AF104*AE104)</f>
        <v>#DIV/0!</v>
      </c>
      <c r="AJ104" s="347" t="e">
        <f>AI104/AE104</f>
        <v>#DIV/0!</v>
      </c>
      <c r="AK104" s="344" t="e">
        <f>AH104/AF104*AE104</f>
        <v>#DIV/0!</v>
      </c>
      <c r="AL104" s="347" t="e">
        <f>AK104/AE104</f>
        <v>#DIV/0!</v>
      </c>
      <c r="AM104" s="350">
        <f>2*AE104</f>
        <v>6</v>
      </c>
      <c r="AN104" s="355"/>
    </row>
    <row r="105" spans="1:40" x14ac:dyDescent="0.35">
      <c r="A105" s="371"/>
      <c r="B105" s="530"/>
      <c r="C105" s="7" t="s">
        <v>164</v>
      </c>
      <c r="D105" s="525"/>
      <c r="E105" s="525"/>
      <c r="F105" s="141"/>
      <c r="G105" s="479"/>
      <c r="H105" s="481"/>
      <c r="I105" s="442"/>
      <c r="J105" s="395"/>
      <c r="K105" s="361"/>
      <c r="L105" s="349"/>
      <c r="M105" s="453"/>
      <c r="N105" s="443"/>
      <c r="O105" s="443"/>
      <c r="P105" s="484"/>
      <c r="Q105" s="479"/>
      <c r="R105" s="488"/>
      <c r="S105" s="487"/>
      <c r="T105" s="327">
        <f t="shared" si="62"/>
        <v>0</v>
      </c>
      <c r="U105" s="481"/>
      <c r="V105" s="442"/>
      <c r="W105" s="319"/>
      <c r="X105" s="319"/>
      <c r="Y105" s="370"/>
      <c r="Z105" s="359"/>
      <c r="AA105" s="373"/>
      <c r="AB105" s="375"/>
      <c r="AC105" s="377"/>
      <c r="AD105" s="380"/>
      <c r="AE105" s="382"/>
      <c r="AF105" s="395"/>
      <c r="AG105" s="397"/>
      <c r="AH105" s="393"/>
      <c r="AI105" s="361"/>
      <c r="AJ105" s="349"/>
      <c r="AK105" s="346"/>
      <c r="AL105" s="349"/>
      <c r="AM105" s="352"/>
      <c r="AN105" s="356"/>
    </row>
    <row r="106" spans="1:40" x14ac:dyDescent="0.35">
      <c r="A106" s="369">
        <v>4</v>
      </c>
      <c r="B106" s="529" t="s">
        <v>165</v>
      </c>
      <c r="C106" s="7" t="s">
        <v>166</v>
      </c>
      <c r="D106" s="524" t="s">
        <v>72</v>
      </c>
      <c r="E106" s="524" t="s">
        <v>72</v>
      </c>
      <c r="F106" s="141"/>
      <c r="G106" s="479">
        <f>Q106</f>
        <v>0</v>
      </c>
      <c r="H106" s="481" t="e">
        <f>U106</f>
        <v>#DIV/0!</v>
      </c>
      <c r="I106" s="441" t="e">
        <f>V106</f>
        <v>#DIV/0!</v>
      </c>
      <c r="J106" s="394">
        <f>AF106</f>
        <v>0</v>
      </c>
      <c r="K106" s="360" t="e">
        <f>AI106</f>
        <v>#DIV/0!</v>
      </c>
      <c r="L106" s="347" t="e">
        <f>AJ106</f>
        <v>#DIV/0!</v>
      </c>
      <c r="M106" s="453"/>
      <c r="N106" s="443">
        <v>0.36</v>
      </c>
      <c r="O106" s="443">
        <v>1</v>
      </c>
      <c r="P106" s="484"/>
      <c r="Q106" s="479">
        <f>8000000*D2/1500</f>
        <v>0</v>
      </c>
      <c r="R106" s="488">
        <f>M101*N106</f>
        <v>2.52</v>
      </c>
      <c r="S106" s="487" t="e">
        <f>R106/Q106</f>
        <v>#DIV/0!</v>
      </c>
      <c r="T106" s="330">
        <f t="shared" si="62"/>
        <v>0</v>
      </c>
      <c r="U106" s="481" t="e">
        <f>IF(SUM(T106:T108)/Q106*R106&gt;R106,R106,SUM(T106:T108)/Q106*R106)</f>
        <v>#DIV/0!</v>
      </c>
      <c r="V106" s="441" t="e">
        <f>U106/R106</f>
        <v>#DIV/0!</v>
      </c>
      <c r="W106" s="319"/>
      <c r="X106" s="319"/>
      <c r="Y106" s="370"/>
      <c r="Z106" s="357">
        <v>0.25</v>
      </c>
      <c r="AA106" s="372">
        <v>1</v>
      </c>
      <c r="AB106" s="374"/>
      <c r="AC106" s="377"/>
      <c r="AD106" s="379">
        <v>15000000</v>
      </c>
      <c r="AE106" s="381">
        <f>Y101*Z106</f>
        <v>2.5</v>
      </c>
      <c r="AF106" s="394">
        <f>IF(AD106*$D$2/1500&gt;AD106,AD106,AD106*$D$2/1500)</f>
        <v>0</v>
      </c>
      <c r="AG106" s="396">
        <f>AE106/AD106</f>
        <v>1.6666666666666668E-7</v>
      </c>
      <c r="AH106" s="366">
        <f>SUM(F106:F108)</f>
        <v>0</v>
      </c>
      <c r="AI106" s="360" t="e">
        <f>IF(AH106/AF106*AE106&gt;AE106*2,AE106*2,AH106/AF106*AE106)</f>
        <v>#DIV/0!</v>
      </c>
      <c r="AJ106" s="347" t="e">
        <f>AI106/AE106</f>
        <v>#DIV/0!</v>
      </c>
      <c r="AK106" s="344" t="e">
        <f>AH106/AF106*AE106</f>
        <v>#DIV/0!</v>
      </c>
      <c r="AL106" s="347" t="e">
        <f>AK106/AE106</f>
        <v>#DIV/0!</v>
      </c>
      <c r="AM106" s="350">
        <f>2*AE106</f>
        <v>5</v>
      </c>
      <c r="AN106" s="355"/>
    </row>
    <row r="107" spans="1:40" x14ac:dyDescent="0.35">
      <c r="A107" s="370"/>
      <c r="B107" s="531"/>
      <c r="C107" s="4" t="s">
        <v>167</v>
      </c>
      <c r="D107" s="534"/>
      <c r="E107" s="534"/>
      <c r="F107" s="141"/>
      <c r="G107" s="479"/>
      <c r="H107" s="481"/>
      <c r="I107" s="483"/>
      <c r="J107" s="421"/>
      <c r="K107" s="362"/>
      <c r="L107" s="348"/>
      <c r="M107" s="453"/>
      <c r="N107" s="443"/>
      <c r="O107" s="443"/>
      <c r="P107" s="484"/>
      <c r="Q107" s="479"/>
      <c r="R107" s="488"/>
      <c r="S107" s="487"/>
      <c r="T107" s="330">
        <f t="shared" si="62"/>
        <v>0</v>
      </c>
      <c r="U107" s="481"/>
      <c r="V107" s="483"/>
      <c r="W107" s="319"/>
      <c r="X107" s="319"/>
      <c r="Y107" s="370"/>
      <c r="Z107" s="358"/>
      <c r="AA107" s="418"/>
      <c r="AB107" s="399"/>
      <c r="AC107" s="377"/>
      <c r="AD107" s="419"/>
      <c r="AE107" s="420"/>
      <c r="AF107" s="421"/>
      <c r="AG107" s="422"/>
      <c r="AH107" s="367"/>
      <c r="AI107" s="362"/>
      <c r="AJ107" s="348"/>
      <c r="AK107" s="345"/>
      <c r="AL107" s="348"/>
      <c r="AM107" s="351"/>
      <c r="AN107" s="365"/>
    </row>
    <row r="108" spans="1:40" x14ac:dyDescent="0.35">
      <c r="A108" s="371"/>
      <c r="B108" s="530"/>
      <c r="C108" s="4" t="s">
        <v>168</v>
      </c>
      <c r="D108" s="525"/>
      <c r="E108" s="525"/>
      <c r="F108" s="141"/>
      <c r="G108" s="479"/>
      <c r="H108" s="481"/>
      <c r="I108" s="442"/>
      <c r="J108" s="395"/>
      <c r="K108" s="361"/>
      <c r="L108" s="349"/>
      <c r="M108" s="453"/>
      <c r="N108" s="443"/>
      <c r="O108" s="443"/>
      <c r="P108" s="484"/>
      <c r="Q108" s="479"/>
      <c r="R108" s="488"/>
      <c r="S108" s="487"/>
      <c r="T108" s="330">
        <f t="shared" si="62"/>
        <v>0</v>
      </c>
      <c r="U108" s="481"/>
      <c r="V108" s="442"/>
      <c r="W108" s="319"/>
      <c r="X108" s="319"/>
      <c r="Y108" s="370"/>
      <c r="Z108" s="359"/>
      <c r="AA108" s="373"/>
      <c r="AB108" s="375"/>
      <c r="AC108" s="377"/>
      <c r="AD108" s="380"/>
      <c r="AE108" s="382"/>
      <c r="AF108" s="395"/>
      <c r="AG108" s="397"/>
      <c r="AH108" s="368"/>
      <c r="AI108" s="361"/>
      <c r="AJ108" s="349"/>
      <c r="AK108" s="346"/>
      <c r="AL108" s="349"/>
      <c r="AM108" s="352"/>
      <c r="AN108" s="356"/>
    </row>
    <row r="109" spans="1:40" ht="29" x14ac:dyDescent="0.35">
      <c r="A109" s="283">
        <v>5</v>
      </c>
      <c r="B109" s="5" t="s">
        <v>169</v>
      </c>
      <c r="C109" s="7" t="s">
        <v>161</v>
      </c>
      <c r="D109" s="316" t="s">
        <v>72</v>
      </c>
      <c r="E109" s="316" t="s">
        <v>72</v>
      </c>
      <c r="F109" s="334"/>
      <c r="G109" s="298">
        <f>Q109</f>
        <v>0</v>
      </c>
      <c r="H109" s="96" t="e">
        <f t="shared" ref="H109:I111" si="63">U109</f>
        <v>#DIV/0!</v>
      </c>
      <c r="I109" s="46" t="e">
        <f t="shared" si="63"/>
        <v>#DIV/0!</v>
      </c>
      <c r="J109" s="227">
        <f>AF109</f>
        <v>0</v>
      </c>
      <c r="K109" s="247" t="e">
        <f t="shared" ref="K109:L111" si="64">AI109</f>
        <v>#DIV/0!</v>
      </c>
      <c r="L109" s="195" t="e">
        <f t="shared" si="64"/>
        <v>#DIV/0!</v>
      </c>
      <c r="M109" s="453"/>
      <c r="N109" s="295">
        <v>0.2</v>
      </c>
      <c r="O109" s="295">
        <v>1</v>
      </c>
      <c r="P109" s="484"/>
      <c r="Q109" s="298">
        <f>4000000*D2/1500</f>
        <v>0</v>
      </c>
      <c r="R109" s="300">
        <f>M101*N109</f>
        <v>1.4000000000000001</v>
      </c>
      <c r="S109" s="306" t="e">
        <f>R109/Q109</f>
        <v>#DIV/0!</v>
      </c>
      <c r="T109" s="329">
        <f t="shared" si="62"/>
        <v>0</v>
      </c>
      <c r="U109" s="96" t="e">
        <f>IF(T109/Q109*R109&gt;R109,R109,T109/Q109*R109)</f>
        <v>#DIV/0!</v>
      </c>
      <c r="V109" s="46" t="e">
        <f>U109/R109</f>
        <v>#DIV/0!</v>
      </c>
      <c r="W109" s="319"/>
      <c r="X109" s="319"/>
      <c r="Y109" s="370"/>
      <c r="Z109" s="291">
        <v>0.1</v>
      </c>
      <c r="AA109" s="285">
        <v>1</v>
      </c>
      <c r="AB109" s="52"/>
      <c r="AC109" s="377"/>
      <c r="AD109" s="242">
        <v>10000000</v>
      </c>
      <c r="AE109" s="58">
        <f>Y101*Z109</f>
        <v>1</v>
      </c>
      <c r="AF109" s="227">
        <f>IF(AD109*$D$2/1500&gt;AD109,AD109,AD109*$D$2/1500)</f>
        <v>0</v>
      </c>
      <c r="AG109" s="226">
        <f>AE109/AD109</f>
        <v>9.9999999999999995E-8</v>
      </c>
      <c r="AH109" s="321">
        <f>F109</f>
        <v>0</v>
      </c>
      <c r="AI109" s="247" t="e">
        <f>IF(AH109/AF109*AE109&gt;AE109*2,AE109*2,AH109/AF109*AE109)</f>
        <v>#DIV/0!</v>
      </c>
      <c r="AJ109" s="195" t="e">
        <f>AI109/AE109</f>
        <v>#DIV/0!</v>
      </c>
      <c r="AK109" s="196" t="e">
        <f>AH109/AF109*AE109</f>
        <v>#DIV/0!</v>
      </c>
      <c r="AL109" s="195" t="e">
        <f>AK109/AE109</f>
        <v>#DIV/0!</v>
      </c>
      <c r="AM109" s="241">
        <f>2*AE109</f>
        <v>2</v>
      </c>
      <c r="AN109" s="110"/>
    </row>
    <row r="110" spans="1:40" ht="29" x14ac:dyDescent="0.35">
      <c r="A110" s="283">
        <v>6</v>
      </c>
      <c r="B110" s="5" t="s">
        <v>170</v>
      </c>
      <c r="C110" s="7" t="s">
        <v>161</v>
      </c>
      <c r="D110" s="316" t="s">
        <v>72</v>
      </c>
      <c r="E110" s="316" t="s">
        <v>72</v>
      </c>
      <c r="F110" s="334"/>
      <c r="G110" s="298">
        <f>Q110</f>
        <v>0</v>
      </c>
      <c r="H110" s="96" t="e">
        <f t="shared" si="63"/>
        <v>#DIV/0!</v>
      </c>
      <c r="I110" s="46" t="e">
        <f t="shared" si="63"/>
        <v>#DIV/0!</v>
      </c>
      <c r="J110" s="227">
        <f>AF110</f>
        <v>0</v>
      </c>
      <c r="K110" s="247" t="e">
        <f t="shared" si="64"/>
        <v>#DIV/0!</v>
      </c>
      <c r="L110" s="195" t="e">
        <f t="shared" si="64"/>
        <v>#DIV/0!</v>
      </c>
      <c r="M110" s="453"/>
      <c r="N110" s="295">
        <v>7.0000000000000007E-2</v>
      </c>
      <c r="O110" s="295">
        <v>1</v>
      </c>
      <c r="P110" s="484"/>
      <c r="Q110" s="298">
        <f>2000000*D2/1500</f>
        <v>0</v>
      </c>
      <c r="R110" s="300">
        <f>M101*N110</f>
        <v>0.49000000000000005</v>
      </c>
      <c r="S110" s="306" t="e">
        <f>R110/Q110</f>
        <v>#DIV/0!</v>
      </c>
      <c r="T110" s="327">
        <f t="shared" si="62"/>
        <v>0</v>
      </c>
      <c r="U110" s="96" t="e">
        <f>IF(T110/Q110*R110&gt;R110,R110,T110/Q110*R110)</f>
        <v>#DIV/0!</v>
      </c>
      <c r="V110" s="46" t="e">
        <f>U110/R110</f>
        <v>#DIV/0!</v>
      </c>
      <c r="W110" s="319"/>
      <c r="X110" s="319"/>
      <c r="Y110" s="370"/>
      <c r="Z110" s="291">
        <v>0.05</v>
      </c>
      <c r="AA110" s="285">
        <v>1</v>
      </c>
      <c r="AB110" s="52"/>
      <c r="AC110" s="378"/>
      <c r="AD110" s="242">
        <v>2000000</v>
      </c>
      <c r="AE110" s="58">
        <f>Y101*Z110</f>
        <v>0.5</v>
      </c>
      <c r="AF110" s="227">
        <f>IF(AD110*$D$2/1500&gt;AD110,AD110,AD110*$D$2/1500)</f>
        <v>0</v>
      </c>
      <c r="AG110" s="226">
        <f>AE110/AD110</f>
        <v>2.4999999999999999E-7</v>
      </c>
      <c r="AH110" s="321">
        <f>F110</f>
        <v>0</v>
      </c>
      <c r="AI110" s="247" t="e">
        <f>IF(AH110/AF110*AE110&gt;AE110*2,AE110*2,AH110/AF110*AE110)</f>
        <v>#DIV/0!</v>
      </c>
      <c r="AJ110" s="195" t="e">
        <f>AI110/AE110</f>
        <v>#DIV/0!</v>
      </c>
      <c r="AK110" s="196" t="e">
        <f>(AH110/AF110*AE110)</f>
        <v>#DIV/0!</v>
      </c>
      <c r="AL110" s="195" t="e">
        <f>AK110/AE110</f>
        <v>#DIV/0!</v>
      </c>
      <c r="AM110" s="241">
        <f>2*AE110</f>
        <v>1</v>
      </c>
      <c r="AN110" s="110"/>
    </row>
    <row r="111" spans="1:40" x14ac:dyDescent="0.35">
      <c r="A111" s="374">
        <v>7</v>
      </c>
      <c r="B111" s="536" t="s">
        <v>171</v>
      </c>
      <c r="C111" s="7" t="s">
        <v>172</v>
      </c>
      <c r="D111" s="524" t="s">
        <v>72</v>
      </c>
      <c r="E111" s="524" t="s">
        <v>72</v>
      </c>
      <c r="F111" s="48">
        <v>1</v>
      </c>
      <c r="G111" s="480">
        <f>Q111</f>
        <v>0.02</v>
      </c>
      <c r="H111" s="482">
        <f t="shared" si="63"/>
        <v>0.49000000000000005</v>
      </c>
      <c r="I111" s="441">
        <f t="shared" si="63"/>
        <v>1</v>
      </c>
      <c r="J111" s="388">
        <f>AF111</f>
        <v>0.2</v>
      </c>
      <c r="K111" s="363">
        <f t="shared" si="64"/>
        <v>0.5</v>
      </c>
      <c r="L111" s="347">
        <f t="shared" si="64"/>
        <v>1</v>
      </c>
      <c r="M111" s="453"/>
      <c r="N111" s="443">
        <v>7.0000000000000007E-2</v>
      </c>
      <c r="O111" s="443">
        <v>1</v>
      </c>
      <c r="P111" s="484" t="s">
        <v>225</v>
      </c>
      <c r="Q111" s="480">
        <v>0.02</v>
      </c>
      <c r="R111" s="485">
        <f>M101*N111</f>
        <v>0.49000000000000005</v>
      </c>
      <c r="S111" s="97"/>
      <c r="T111" s="98">
        <f t="shared" si="62"/>
        <v>1</v>
      </c>
      <c r="U111" s="486">
        <f>IF(((T112/T111)*R111/Q111)&gt;R111,R111,((T112/T111)*R111/Q111))</f>
        <v>0.49000000000000005</v>
      </c>
      <c r="V111" s="441">
        <f>U111/R111</f>
        <v>1</v>
      </c>
      <c r="W111" s="319"/>
      <c r="X111" s="319"/>
      <c r="Y111" s="370"/>
      <c r="Z111" s="357">
        <v>0.05</v>
      </c>
      <c r="AA111" s="372">
        <v>1</v>
      </c>
      <c r="AB111" s="374"/>
      <c r="AC111" s="376" t="s">
        <v>225</v>
      </c>
      <c r="AD111" s="353">
        <v>0.2</v>
      </c>
      <c r="AE111" s="386">
        <f>Y101*Z111</f>
        <v>0.5</v>
      </c>
      <c r="AF111" s="388">
        <f>AD111</f>
        <v>0.2</v>
      </c>
      <c r="AG111" s="374"/>
      <c r="AH111" s="331">
        <v>1</v>
      </c>
      <c r="AI111" s="390">
        <f>IF(((AH112/AH111)*AE111/AF111)&gt;2*AE111,2*AE111,((AH112/AH111)*AE111/AF111))</f>
        <v>0.5</v>
      </c>
      <c r="AJ111" s="347">
        <f>AI111/AE111</f>
        <v>1</v>
      </c>
      <c r="AK111" s="344">
        <f>((AH112/AH111)*AE111/AF111)</f>
        <v>0.5</v>
      </c>
      <c r="AL111" s="347">
        <f>AK111/AE111</f>
        <v>1</v>
      </c>
      <c r="AM111" s="350">
        <f>2*AE111</f>
        <v>1</v>
      </c>
      <c r="AN111" s="355"/>
    </row>
    <row r="112" spans="1:40" x14ac:dyDescent="0.35">
      <c r="A112" s="375"/>
      <c r="B112" s="537"/>
      <c r="C112" s="7" t="s">
        <v>173</v>
      </c>
      <c r="D112" s="525"/>
      <c r="E112" s="525"/>
      <c r="F112" s="48">
        <v>0.02</v>
      </c>
      <c r="G112" s="335"/>
      <c r="H112" s="482"/>
      <c r="I112" s="442"/>
      <c r="J112" s="389"/>
      <c r="K112" s="364"/>
      <c r="L112" s="349"/>
      <c r="M112" s="453"/>
      <c r="N112" s="443"/>
      <c r="O112" s="443"/>
      <c r="P112" s="484"/>
      <c r="Q112" s="335"/>
      <c r="R112" s="485"/>
      <c r="S112" s="97"/>
      <c r="T112" s="98">
        <f t="shared" si="62"/>
        <v>0.02</v>
      </c>
      <c r="U112" s="486"/>
      <c r="V112" s="442"/>
      <c r="W112" s="319"/>
      <c r="X112" s="319"/>
      <c r="Y112" s="371"/>
      <c r="Z112" s="359"/>
      <c r="AA112" s="373"/>
      <c r="AB112" s="375"/>
      <c r="AC112" s="378"/>
      <c r="AD112" s="354"/>
      <c r="AE112" s="387"/>
      <c r="AF112" s="389"/>
      <c r="AG112" s="375"/>
      <c r="AH112" s="332">
        <v>0.2</v>
      </c>
      <c r="AI112" s="391"/>
      <c r="AJ112" s="349"/>
      <c r="AK112" s="346"/>
      <c r="AL112" s="349"/>
      <c r="AM112" s="352"/>
      <c r="AN112" s="356"/>
    </row>
    <row r="113" spans="1:40" x14ac:dyDescent="0.35">
      <c r="A113" s="526" t="s">
        <v>174</v>
      </c>
      <c r="B113" s="527"/>
      <c r="C113" s="528"/>
      <c r="H113" s="82" t="e">
        <f>U113</f>
        <v>#DIV/0!</v>
      </c>
      <c r="I113" s="46" t="e">
        <f>V113</f>
        <v>#DIV/0!</v>
      </c>
      <c r="K113" s="82" t="e">
        <f>AI113</f>
        <v>#DIV/0!</v>
      </c>
      <c r="L113" s="195" t="e">
        <f>AJ113</f>
        <v>#DIV/0!</v>
      </c>
      <c r="M113" s="92">
        <f>SUM(M101)</f>
        <v>7</v>
      </c>
      <c r="N113" s="89">
        <f>SUM(N101:N112)</f>
        <v>1</v>
      </c>
      <c r="O113" s="92"/>
      <c r="P113" s="92"/>
      <c r="Q113" s="92"/>
      <c r="R113" s="82">
        <f>SUM(R101:R112)</f>
        <v>7.0000000000000009</v>
      </c>
      <c r="S113" s="91"/>
      <c r="T113" s="91"/>
      <c r="U113" s="82" t="e">
        <f>SUM(U101:U112)</f>
        <v>#DIV/0!</v>
      </c>
      <c r="V113" s="46" t="e">
        <f>U113/R113</f>
        <v>#DIV/0!</v>
      </c>
      <c r="W113" s="319"/>
      <c r="X113" s="319"/>
      <c r="Y113" s="92">
        <f>SUM(Y101)</f>
        <v>10</v>
      </c>
      <c r="Z113" s="89">
        <f>SUM(Z101:Z112)</f>
        <v>1</v>
      </c>
      <c r="AA113" s="92"/>
      <c r="AB113" s="92"/>
      <c r="AC113" s="92"/>
      <c r="AD113" s="92"/>
      <c r="AE113" s="82">
        <f>SUM(AE101:AE112)</f>
        <v>10</v>
      </c>
      <c r="AF113" s="91"/>
      <c r="AG113" s="91"/>
      <c r="AH113" s="91"/>
      <c r="AI113" s="82" t="e">
        <f>SUM(AI101:AI112)</f>
        <v>#DIV/0!</v>
      </c>
      <c r="AJ113" s="195" t="e">
        <f>AI113/AE113</f>
        <v>#DIV/0!</v>
      </c>
      <c r="AK113" s="82" t="e">
        <f>IF(SUM(AK101:AK110)&gt;AM113,AM113,SUM(AK101:AK110))</f>
        <v>#DIV/0!</v>
      </c>
      <c r="AL113" s="195" t="e">
        <f>AK113/AE113</f>
        <v>#DIV/0!</v>
      </c>
      <c r="AM113" s="248">
        <f>SUM(AM101:AM110)</f>
        <v>19</v>
      </c>
      <c r="AN113" s="110"/>
    </row>
    <row r="115" spans="1:40" x14ac:dyDescent="0.35">
      <c r="A115" s="523" t="s">
        <v>209</v>
      </c>
      <c r="B115" s="523"/>
      <c r="C115" s="523"/>
      <c r="D115" s="523"/>
      <c r="E115" s="523"/>
      <c r="F115" s="523"/>
      <c r="G115" s="341" t="s">
        <v>70</v>
      </c>
      <c r="H115" s="342"/>
      <c r="I115" s="343"/>
      <c r="J115" s="423" t="s">
        <v>71</v>
      </c>
      <c r="K115" s="424"/>
      <c r="L115" s="425"/>
      <c r="M115" s="417" t="s">
        <v>70</v>
      </c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335" t="s">
        <v>71</v>
      </c>
      <c r="Z115" s="335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5"/>
      <c r="AL115" s="335"/>
      <c r="AM115" s="335"/>
      <c r="AN115" s="335"/>
    </row>
    <row r="116" spans="1:40" ht="29" x14ac:dyDescent="0.35">
      <c r="A116" s="292" t="s">
        <v>43</v>
      </c>
      <c r="B116" s="292" t="s">
        <v>44</v>
      </c>
      <c r="C116" s="292" t="s">
        <v>45</v>
      </c>
      <c r="D116" s="292" t="s">
        <v>70</v>
      </c>
      <c r="E116" s="64" t="s">
        <v>71</v>
      </c>
      <c r="F116" s="41" t="s">
        <v>2</v>
      </c>
      <c r="G116" s="70" t="s">
        <v>76</v>
      </c>
      <c r="H116" s="75" t="s">
        <v>215</v>
      </c>
      <c r="I116" s="68" t="s">
        <v>226</v>
      </c>
      <c r="J116" s="189" t="s">
        <v>76</v>
      </c>
      <c r="K116" s="3" t="s">
        <v>63</v>
      </c>
      <c r="L116" s="3" t="s">
        <v>223</v>
      </c>
      <c r="M116" s="292" t="s">
        <v>63</v>
      </c>
      <c r="N116" s="292" t="s">
        <v>64</v>
      </c>
      <c r="O116" s="68" t="s">
        <v>211</v>
      </c>
      <c r="P116" s="292" t="s">
        <v>218</v>
      </c>
      <c r="Q116" s="71" t="s">
        <v>219</v>
      </c>
      <c r="R116" s="24" t="s">
        <v>213</v>
      </c>
      <c r="S116" s="37" t="s">
        <v>76</v>
      </c>
      <c r="T116" s="3" t="s">
        <v>81</v>
      </c>
      <c r="U116" s="41" t="s">
        <v>214</v>
      </c>
      <c r="V116" s="83" t="s">
        <v>215</v>
      </c>
      <c r="W116" s="83" t="s">
        <v>79</v>
      </c>
      <c r="X116" s="319"/>
      <c r="Y116" s="292" t="s">
        <v>63</v>
      </c>
      <c r="Z116" s="292" t="s">
        <v>64</v>
      </c>
      <c r="AA116" s="292" t="s">
        <v>73</v>
      </c>
      <c r="AB116" s="292" t="s">
        <v>227</v>
      </c>
      <c r="AC116" s="292" t="s">
        <v>218</v>
      </c>
      <c r="AD116" s="24" t="s">
        <v>74</v>
      </c>
      <c r="AE116" s="24" t="s">
        <v>245</v>
      </c>
      <c r="AF116" s="189" t="s">
        <v>76</v>
      </c>
      <c r="AG116" s="3" t="s">
        <v>81</v>
      </c>
      <c r="AH116" s="41" t="s">
        <v>2</v>
      </c>
      <c r="AI116" s="3" t="s">
        <v>246</v>
      </c>
      <c r="AJ116" s="3" t="s">
        <v>79</v>
      </c>
      <c r="AK116" s="190" t="s">
        <v>247</v>
      </c>
      <c r="AL116" s="191" t="s">
        <v>248</v>
      </c>
      <c r="AM116" s="191" t="s">
        <v>251</v>
      </c>
      <c r="AN116" s="258" t="s">
        <v>252</v>
      </c>
    </row>
    <row r="117" spans="1:40" ht="29" x14ac:dyDescent="0.35">
      <c r="A117" s="491">
        <v>1</v>
      </c>
      <c r="B117" s="510" t="s">
        <v>175</v>
      </c>
      <c r="C117" s="67" t="s">
        <v>176</v>
      </c>
      <c r="D117" s="316" t="s">
        <v>72</v>
      </c>
      <c r="E117" s="316" t="s">
        <v>72</v>
      </c>
      <c r="F117" s="50"/>
      <c r="G117" s="84">
        <f>S117</f>
        <v>0</v>
      </c>
      <c r="H117" s="85" t="e">
        <f>V117</f>
        <v>#DIV/0!</v>
      </c>
      <c r="I117" s="46" t="e">
        <f>W117</f>
        <v>#DIV/0!</v>
      </c>
      <c r="J117" s="249">
        <f>AF117</f>
        <v>0</v>
      </c>
      <c r="K117" s="45" t="e">
        <f>AI117</f>
        <v>#DIV/0!</v>
      </c>
      <c r="L117" s="195" t="e">
        <f>AJ117</f>
        <v>#DIV/0!</v>
      </c>
      <c r="M117" s="427">
        <v>10</v>
      </c>
      <c r="N117" s="433">
        <v>0.3</v>
      </c>
      <c r="O117" s="295">
        <v>0.4</v>
      </c>
      <c r="P117" s="303" t="s">
        <v>216</v>
      </c>
      <c r="Q117" s="302">
        <v>5</v>
      </c>
      <c r="R117" s="281">
        <f>M117*N117*O117</f>
        <v>1.2000000000000002</v>
      </c>
      <c r="S117" s="84">
        <f>ROUNDUP(Q117*D2/1500,0)</f>
        <v>0</v>
      </c>
      <c r="T117" s="55" t="e">
        <f>R117/S117</f>
        <v>#DIV/0!</v>
      </c>
      <c r="U117" s="318">
        <f t="shared" ref="U117:U129" si="65">F117</f>
        <v>0</v>
      </c>
      <c r="V117" s="85" t="e">
        <f t="shared" ref="V117:V129" si="66">IF(U117/S117*R117&gt;R117,R117,U117/S117*R117)</f>
        <v>#DIV/0!</v>
      </c>
      <c r="W117" s="46" t="e">
        <f>V117/R117</f>
        <v>#DIV/0!</v>
      </c>
      <c r="X117" s="319"/>
      <c r="Y117" s="376">
        <v>12</v>
      </c>
      <c r="Z117" s="383">
        <v>0.4</v>
      </c>
      <c r="AA117" s="285">
        <v>0.3</v>
      </c>
      <c r="AB117" s="52"/>
      <c r="AC117" s="286" t="s">
        <v>216</v>
      </c>
      <c r="AD117" s="290">
        <v>10</v>
      </c>
      <c r="AE117" s="281">
        <f>Y117*Z117*AA117</f>
        <v>1.4400000000000002</v>
      </c>
      <c r="AF117" s="249">
        <f>IF(ROUNDUP(AD117*$D$2/1500,0)&gt;AD117,AD117,ROUNDUP(AD117*$D$2/1500,0))</f>
        <v>0</v>
      </c>
      <c r="AG117" s="55" t="e">
        <f t="shared" ref="AG117:AG118" si="67">AE117/AF117</f>
        <v>#DIV/0!</v>
      </c>
      <c r="AH117" s="318">
        <f>F117</f>
        <v>0</v>
      </c>
      <c r="AI117" s="45" t="e">
        <f t="shared" ref="AI117:AI118" si="68">IF(AH117/AF117*AE117&gt;AE117,AE117,AH117/AF117*AE117)</f>
        <v>#DIV/0!</v>
      </c>
      <c r="AJ117" s="195" t="e">
        <f t="shared" ref="AJ117:AJ118" si="69">AI117/AE117</f>
        <v>#DIV/0!</v>
      </c>
      <c r="AK117" s="196" t="e">
        <f t="shared" ref="AK117:AK118" si="70">IF(AH117/AF117*AE117&gt;AE117,AE117,AH117/AF117*AE117)</f>
        <v>#DIV/0!</v>
      </c>
      <c r="AL117" s="195" t="e">
        <f t="shared" ref="AL117:AL118" si="71">AK117/AE117</f>
        <v>#DIV/0!</v>
      </c>
      <c r="AM117" s="241">
        <f>AE117</f>
        <v>1.4400000000000002</v>
      </c>
      <c r="AN117" s="110"/>
    </row>
    <row r="118" spans="1:40" x14ac:dyDescent="0.35">
      <c r="A118" s="491"/>
      <c r="B118" s="510"/>
      <c r="C118" s="66" t="s">
        <v>177</v>
      </c>
      <c r="D118" s="316" t="s">
        <v>72</v>
      </c>
      <c r="E118" s="316" t="s">
        <v>72</v>
      </c>
      <c r="F118" s="50"/>
      <c r="G118" s="84">
        <f t="shared" ref="G118:G129" si="72">S118</f>
        <v>0</v>
      </c>
      <c r="H118" s="85" t="e">
        <f t="shared" ref="H118:H129" si="73">V118</f>
        <v>#DIV/0!</v>
      </c>
      <c r="I118" s="46" t="e">
        <f t="shared" ref="I118:I129" si="74">W118</f>
        <v>#DIV/0!</v>
      </c>
      <c r="J118" s="249">
        <f>AF118</f>
        <v>0</v>
      </c>
      <c r="K118" s="45" t="e">
        <f>AI118</f>
        <v>#DIV/0!</v>
      </c>
      <c r="L118" s="195" t="e">
        <f>AJ118</f>
        <v>#DIV/0!</v>
      </c>
      <c r="M118" s="427"/>
      <c r="N118" s="433"/>
      <c r="O118" s="295">
        <v>0.1</v>
      </c>
      <c r="P118" s="303" t="s">
        <v>220</v>
      </c>
      <c r="Q118" s="305">
        <v>0.03</v>
      </c>
      <c r="R118" s="86">
        <f>M117*N117*O118</f>
        <v>0.30000000000000004</v>
      </c>
      <c r="S118" s="84">
        <f>ROUNDUP(D2*Q118,0)</f>
        <v>0</v>
      </c>
      <c r="T118" s="55" t="e">
        <f t="shared" ref="T118:T125" si="75">R118/S118</f>
        <v>#DIV/0!</v>
      </c>
      <c r="U118" s="318">
        <f t="shared" si="65"/>
        <v>0</v>
      </c>
      <c r="V118" s="85" t="e">
        <f t="shared" si="66"/>
        <v>#DIV/0!</v>
      </c>
      <c r="W118" s="46" t="e">
        <f t="shared" ref="W118:W129" si="76">V118/R118</f>
        <v>#DIV/0!</v>
      </c>
      <c r="X118" s="319"/>
      <c r="Y118" s="377"/>
      <c r="Z118" s="384"/>
      <c r="AA118" s="285">
        <v>0.2</v>
      </c>
      <c r="AB118" s="52"/>
      <c r="AC118" s="286" t="s">
        <v>220</v>
      </c>
      <c r="AD118" s="219">
        <v>0.1</v>
      </c>
      <c r="AE118" s="86">
        <f>Y117*Z117*AA118</f>
        <v>0.96000000000000019</v>
      </c>
      <c r="AF118" s="249">
        <f>$D$2*AD118</f>
        <v>0</v>
      </c>
      <c r="AG118" s="55" t="e">
        <f t="shared" si="67"/>
        <v>#DIV/0!</v>
      </c>
      <c r="AH118" s="318">
        <f>F118</f>
        <v>0</v>
      </c>
      <c r="AI118" s="45" t="e">
        <f t="shared" si="68"/>
        <v>#DIV/0!</v>
      </c>
      <c r="AJ118" s="195" t="e">
        <f t="shared" si="69"/>
        <v>#DIV/0!</v>
      </c>
      <c r="AK118" s="196" t="e">
        <f t="shared" si="70"/>
        <v>#DIV/0!</v>
      </c>
      <c r="AL118" s="195" t="e">
        <f t="shared" si="71"/>
        <v>#DIV/0!</v>
      </c>
      <c r="AM118" s="241">
        <f t="shared" ref="AM118" si="77">AE118</f>
        <v>0.96000000000000019</v>
      </c>
      <c r="AN118" s="110"/>
    </row>
    <row r="119" spans="1:40" ht="29" x14ac:dyDescent="0.35">
      <c r="A119" s="302">
        <v>2</v>
      </c>
      <c r="B119" s="310" t="s">
        <v>178</v>
      </c>
      <c r="C119" s="67" t="s">
        <v>179</v>
      </c>
      <c r="D119" s="316" t="s">
        <v>72</v>
      </c>
      <c r="E119" s="316" t="s">
        <v>43</v>
      </c>
      <c r="F119" s="50"/>
      <c r="G119" s="84">
        <f t="shared" si="72"/>
        <v>0</v>
      </c>
      <c r="H119" s="85" t="e">
        <f t="shared" si="73"/>
        <v>#DIV/0!</v>
      </c>
      <c r="I119" s="46" t="e">
        <f t="shared" si="74"/>
        <v>#DIV/0!</v>
      </c>
      <c r="J119" s="319"/>
      <c r="K119" s="319"/>
      <c r="L119" s="319"/>
      <c r="M119" s="427"/>
      <c r="N119" s="433"/>
      <c r="O119" s="295">
        <v>0.1</v>
      </c>
      <c r="P119" s="303" t="s">
        <v>220</v>
      </c>
      <c r="Q119" s="305">
        <v>0.05</v>
      </c>
      <c r="R119" s="86">
        <f>M117*N117*O119</f>
        <v>0.30000000000000004</v>
      </c>
      <c r="S119" s="84">
        <f>ROUNDUP(D2*Q119,0)</f>
        <v>0</v>
      </c>
      <c r="T119" s="55" t="e">
        <f t="shared" si="75"/>
        <v>#DIV/0!</v>
      </c>
      <c r="U119" s="318">
        <f t="shared" si="65"/>
        <v>0</v>
      </c>
      <c r="V119" s="85" t="e">
        <f t="shared" si="66"/>
        <v>#DIV/0!</v>
      </c>
      <c r="W119" s="46" t="e">
        <f t="shared" si="76"/>
        <v>#DIV/0!</v>
      </c>
      <c r="X119" s="319"/>
      <c r="Y119" s="377"/>
      <c r="Z119" s="384"/>
      <c r="AA119" s="319"/>
      <c r="AB119" s="319"/>
      <c r="AC119" s="319"/>
      <c r="AD119" s="319"/>
      <c r="AE119" s="319"/>
      <c r="AF119" s="319"/>
      <c r="AG119" s="319"/>
      <c r="AH119" s="319"/>
      <c r="AI119" s="319"/>
      <c r="AJ119" s="319"/>
      <c r="AK119" s="319"/>
      <c r="AL119" s="319"/>
      <c r="AM119" s="319"/>
      <c r="AN119" s="319"/>
    </row>
    <row r="120" spans="1:40" x14ac:dyDescent="0.35">
      <c r="A120" s="491">
        <v>3</v>
      </c>
      <c r="B120" s="535" t="s">
        <v>180</v>
      </c>
      <c r="C120" s="67" t="s">
        <v>181</v>
      </c>
      <c r="D120" s="316" t="s">
        <v>72</v>
      </c>
      <c r="E120" s="316" t="s">
        <v>43</v>
      </c>
      <c r="F120" s="50"/>
      <c r="G120" s="84">
        <f t="shared" si="72"/>
        <v>0</v>
      </c>
      <c r="H120" s="85" t="e">
        <f t="shared" si="73"/>
        <v>#DIV/0!</v>
      </c>
      <c r="I120" s="46" t="e">
        <f t="shared" si="74"/>
        <v>#DIV/0!</v>
      </c>
      <c r="J120" s="319"/>
      <c r="K120" s="319"/>
      <c r="L120" s="319"/>
      <c r="M120" s="427"/>
      <c r="N120" s="433"/>
      <c r="O120" s="295">
        <v>0.1</v>
      </c>
      <c r="P120" s="303" t="s">
        <v>221</v>
      </c>
      <c r="Q120" s="302">
        <v>0.15</v>
      </c>
      <c r="R120" s="86">
        <f>M117*N117*O120</f>
        <v>0.30000000000000004</v>
      </c>
      <c r="S120" s="84">
        <f>ROUNDUP(Q120*D2,0)</f>
        <v>0</v>
      </c>
      <c r="T120" s="55" t="e">
        <f t="shared" si="75"/>
        <v>#DIV/0!</v>
      </c>
      <c r="U120" s="318">
        <f t="shared" si="65"/>
        <v>0</v>
      </c>
      <c r="V120" s="85" t="e">
        <f t="shared" si="66"/>
        <v>#DIV/0!</v>
      </c>
      <c r="W120" s="46" t="e">
        <f t="shared" si="76"/>
        <v>#DIV/0!</v>
      </c>
      <c r="X120" s="319"/>
      <c r="Y120" s="377"/>
      <c r="Z120" s="384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19"/>
      <c r="AL120" s="319"/>
      <c r="AM120" s="319"/>
      <c r="AN120" s="319"/>
    </row>
    <row r="121" spans="1:40" ht="29" x14ac:dyDescent="0.35">
      <c r="A121" s="491"/>
      <c r="B121" s="535"/>
      <c r="C121" s="67" t="s">
        <v>182</v>
      </c>
      <c r="D121" s="316" t="s">
        <v>72</v>
      </c>
      <c r="E121" s="316" t="s">
        <v>72</v>
      </c>
      <c r="F121" s="50"/>
      <c r="G121" s="84">
        <f t="shared" si="72"/>
        <v>0</v>
      </c>
      <c r="H121" s="85" t="e">
        <f t="shared" si="73"/>
        <v>#DIV/0!</v>
      </c>
      <c r="I121" s="46" t="e">
        <f t="shared" si="74"/>
        <v>#DIV/0!</v>
      </c>
      <c r="J121" s="249">
        <f>AF121</f>
        <v>0</v>
      </c>
      <c r="K121" s="45" t="e">
        <f t="shared" ref="K121:L123" si="78">AI121</f>
        <v>#DIV/0!</v>
      </c>
      <c r="L121" s="195" t="e">
        <f t="shared" si="78"/>
        <v>#DIV/0!</v>
      </c>
      <c r="M121" s="427"/>
      <c r="N121" s="433"/>
      <c r="O121" s="295">
        <v>0.3</v>
      </c>
      <c r="P121" s="303" t="s">
        <v>220</v>
      </c>
      <c r="Q121" s="87">
        <v>5.0000000000000001E-3</v>
      </c>
      <c r="R121" s="86">
        <f>M117*N117*O121</f>
        <v>0.89999999999999991</v>
      </c>
      <c r="S121" s="84">
        <f>ROUNDUP(Q121*D2,0)</f>
        <v>0</v>
      </c>
      <c r="T121" s="55" t="e">
        <f t="shared" si="75"/>
        <v>#DIV/0!</v>
      </c>
      <c r="U121" s="318">
        <f t="shared" si="65"/>
        <v>0</v>
      </c>
      <c r="V121" s="85" t="e">
        <f t="shared" si="66"/>
        <v>#DIV/0!</v>
      </c>
      <c r="W121" s="46" t="e">
        <f t="shared" si="76"/>
        <v>#DIV/0!</v>
      </c>
      <c r="X121" s="319"/>
      <c r="Y121" s="377"/>
      <c r="Z121" s="385"/>
      <c r="AA121" s="285">
        <v>0.5</v>
      </c>
      <c r="AB121" s="52"/>
      <c r="AC121" s="286" t="s">
        <v>220</v>
      </c>
      <c r="AD121" s="219">
        <v>0.01</v>
      </c>
      <c r="AE121" s="86">
        <f>Y117*Z117*AA121</f>
        <v>2.4000000000000004</v>
      </c>
      <c r="AF121" s="249">
        <f>$D$2*AD121</f>
        <v>0</v>
      </c>
      <c r="AG121" s="55" t="e">
        <f>AE121/AF121</f>
        <v>#DIV/0!</v>
      </c>
      <c r="AH121" s="318">
        <f>F121</f>
        <v>0</v>
      </c>
      <c r="AI121" s="45" t="e">
        <f>IF(AH121/AF121*AE121&gt;AE121,AE121,AH121/AF121*AE121)</f>
        <v>#DIV/0!</v>
      </c>
      <c r="AJ121" s="195" t="e">
        <f>AI121/AE121</f>
        <v>#DIV/0!</v>
      </c>
      <c r="AK121" s="196" t="e">
        <f>IF(AH121/AF121*AE121&gt;AE121,AE121,AH121/AF121*AE121)</f>
        <v>#DIV/0!</v>
      </c>
      <c r="AL121" s="195" t="e">
        <f>AK121/AE121</f>
        <v>#DIV/0!</v>
      </c>
      <c r="AM121" s="241">
        <f>AE121</f>
        <v>2.4000000000000004</v>
      </c>
      <c r="AN121" s="110"/>
    </row>
    <row r="122" spans="1:40" ht="29" x14ac:dyDescent="0.35">
      <c r="A122" s="491">
        <v>4</v>
      </c>
      <c r="B122" s="510" t="s">
        <v>183</v>
      </c>
      <c r="C122" s="67" t="s">
        <v>176</v>
      </c>
      <c r="D122" s="316" t="s">
        <v>72</v>
      </c>
      <c r="E122" s="316" t="s">
        <v>72</v>
      </c>
      <c r="F122" s="50"/>
      <c r="G122" s="84">
        <f t="shared" si="72"/>
        <v>0</v>
      </c>
      <c r="H122" s="85" t="e">
        <f t="shared" si="73"/>
        <v>#DIV/0!</v>
      </c>
      <c r="I122" s="46" t="e">
        <f t="shared" si="74"/>
        <v>#DIV/0!</v>
      </c>
      <c r="J122" s="249">
        <f>AF122</f>
        <v>0</v>
      </c>
      <c r="K122" s="45" t="e">
        <f t="shared" si="78"/>
        <v>#DIV/0!</v>
      </c>
      <c r="L122" s="195" t="e">
        <f t="shared" si="78"/>
        <v>#DIV/0!</v>
      </c>
      <c r="M122" s="427"/>
      <c r="N122" s="433">
        <v>0.45</v>
      </c>
      <c r="O122" s="295">
        <v>0.4</v>
      </c>
      <c r="P122" s="303" t="s">
        <v>216</v>
      </c>
      <c r="Q122" s="302">
        <v>20</v>
      </c>
      <c r="R122" s="86">
        <f>M117*N122*O122</f>
        <v>1.8</v>
      </c>
      <c r="S122" s="84">
        <f>ROUNDUP(Q122*D2/1500,0)</f>
        <v>0</v>
      </c>
      <c r="T122" s="55" t="e">
        <f t="shared" si="75"/>
        <v>#DIV/0!</v>
      </c>
      <c r="U122" s="318">
        <f t="shared" si="65"/>
        <v>0</v>
      </c>
      <c r="V122" s="85" t="e">
        <f t="shared" si="66"/>
        <v>#DIV/0!</v>
      </c>
      <c r="W122" s="46" t="e">
        <f t="shared" si="76"/>
        <v>#DIV/0!</v>
      </c>
      <c r="X122" s="319"/>
      <c r="Y122" s="377"/>
      <c r="Z122" s="383">
        <v>0.25</v>
      </c>
      <c r="AA122" s="285">
        <v>0.3</v>
      </c>
      <c r="AB122" s="52"/>
      <c r="AC122" s="286" t="s">
        <v>216</v>
      </c>
      <c r="AD122" s="290">
        <v>40</v>
      </c>
      <c r="AE122" s="86">
        <f>Y117*Z122*AA122</f>
        <v>0.89999999999999991</v>
      </c>
      <c r="AF122" s="249">
        <f>IF(ROUNDUP(AD122*$D$2/1500,0)&gt;AD122,AD122,ROUNDUP(AD122*$D$2/1500,0))</f>
        <v>0</v>
      </c>
      <c r="AG122" s="55" t="e">
        <f>AE122/AF122</f>
        <v>#DIV/0!</v>
      </c>
      <c r="AH122" s="318">
        <f>F122</f>
        <v>0</v>
      </c>
      <c r="AI122" s="45" t="e">
        <f>IF(AH122/AF122*AE122&gt;AE122,AE122,AH122/AF122*AE122)</f>
        <v>#DIV/0!</v>
      </c>
      <c r="AJ122" s="195" t="e">
        <f>AI122/AE122</f>
        <v>#DIV/0!</v>
      </c>
      <c r="AK122" s="196" t="e">
        <f>IF(AH122/AF122*AE122&gt;AE122,AE122,AH122/AF122*AE122)</f>
        <v>#DIV/0!</v>
      </c>
      <c r="AL122" s="195" t="e">
        <f>AK122/AE122</f>
        <v>#DIV/0!</v>
      </c>
      <c r="AM122" s="241">
        <f>AE122</f>
        <v>0.89999999999999991</v>
      </c>
      <c r="AN122" s="110"/>
    </row>
    <row r="123" spans="1:40" x14ac:dyDescent="0.35">
      <c r="A123" s="491"/>
      <c r="B123" s="510"/>
      <c r="C123" s="67" t="s">
        <v>184</v>
      </c>
      <c r="D123" s="316" t="s">
        <v>72</v>
      </c>
      <c r="E123" s="316" t="s">
        <v>72</v>
      </c>
      <c r="F123" s="50"/>
      <c r="G123" s="84">
        <f t="shared" si="72"/>
        <v>0</v>
      </c>
      <c r="H123" s="85" t="e">
        <f t="shared" si="73"/>
        <v>#DIV/0!</v>
      </c>
      <c r="I123" s="46" t="e">
        <f t="shared" si="74"/>
        <v>#DIV/0!</v>
      </c>
      <c r="J123" s="249">
        <f>AF123</f>
        <v>0</v>
      </c>
      <c r="K123" s="45" t="e">
        <f t="shared" si="78"/>
        <v>#DIV/0!</v>
      </c>
      <c r="L123" s="195" t="e">
        <f t="shared" si="78"/>
        <v>#DIV/0!</v>
      </c>
      <c r="M123" s="427"/>
      <c r="N123" s="433"/>
      <c r="O123" s="295">
        <v>0.2</v>
      </c>
      <c r="P123" s="303" t="s">
        <v>220</v>
      </c>
      <c r="Q123" s="305">
        <v>7.0000000000000007E-2</v>
      </c>
      <c r="R123" s="86">
        <f>M117*N122*O123</f>
        <v>0.9</v>
      </c>
      <c r="S123" s="84">
        <f>ROUNDUP(Q123*D2,0)</f>
        <v>0</v>
      </c>
      <c r="T123" s="55" t="e">
        <f t="shared" si="75"/>
        <v>#DIV/0!</v>
      </c>
      <c r="U123" s="318">
        <f t="shared" si="65"/>
        <v>0</v>
      </c>
      <c r="V123" s="85" t="e">
        <f t="shared" si="66"/>
        <v>#DIV/0!</v>
      </c>
      <c r="W123" s="46" t="e">
        <f t="shared" si="76"/>
        <v>#DIV/0!</v>
      </c>
      <c r="X123" s="319"/>
      <c r="Y123" s="377"/>
      <c r="Z123" s="384"/>
      <c r="AA123" s="285">
        <v>0.2</v>
      </c>
      <c r="AB123" s="52"/>
      <c r="AC123" s="286" t="s">
        <v>220</v>
      </c>
      <c r="AD123" s="219">
        <v>0.15</v>
      </c>
      <c r="AE123" s="86">
        <f>Y117*Z122*AA123</f>
        <v>0.60000000000000009</v>
      </c>
      <c r="AF123" s="249">
        <f>AD123*$D$2</f>
        <v>0</v>
      </c>
      <c r="AG123" s="55" t="e">
        <f>AE123/AF123</f>
        <v>#DIV/0!</v>
      </c>
      <c r="AH123" s="318">
        <f>F123</f>
        <v>0</v>
      </c>
      <c r="AI123" s="45" t="e">
        <f>IF(AH123/AF123*AE123&gt;AE123,AE123,AH123/AF123*AE123)</f>
        <v>#DIV/0!</v>
      </c>
      <c r="AJ123" s="195" t="e">
        <f>AI123/AE123</f>
        <v>#DIV/0!</v>
      </c>
      <c r="AK123" s="196" t="e">
        <f>IF(AH123/AF123*AE123&gt;AE123,AE123,AH123/AF123*AE123)</f>
        <v>#DIV/0!</v>
      </c>
      <c r="AL123" s="195" t="e">
        <f>AK123/AE123</f>
        <v>#DIV/0!</v>
      </c>
      <c r="AM123" s="241">
        <f>AE123</f>
        <v>0.60000000000000009</v>
      </c>
      <c r="AN123" s="110"/>
    </row>
    <row r="124" spans="1:40" ht="29" x14ac:dyDescent="0.35">
      <c r="A124" s="540">
        <v>5</v>
      </c>
      <c r="B124" s="535" t="s">
        <v>185</v>
      </c>
      <c r="C124" s="67" t="s">
        <v>186</v>
      </c>
      <c r="D124" s="316" t="s">
        <v>72</v>
      </c>
      <c r="E124" s="316" t="s">
        <v>43</v>
      </c>
      <c r="F124" s="50"/>
      <c r="G124" s="84">
        <f t="shared" si="72"/>
        <v>0</v>
      </c>
      <c r="H124" s="85" t="e">
        <f t="shared" si="73"/>
        <v>#DIV/0!</v>
      </c>
      <c r="I124" s="46" t="e">
        <f t="shared" si="74"/>
        <v>#DIV/0!</v>
      </c>
      <c r="J124" s="319"/>
      <c r="K124" s="319"/>
      <c r="L124" s="319"/>
      <c r="M124" s="427"/>
      <c r="N124" s="433"/>
      <c r="O124" s="295">
        <v>0.1</v>
      </c>
      <c r="P124" s="303" t="s">
        <v>222</v>
      </c>
      <c r="Q124" s="302">
        <v>0.3</v>
      </c>
      <c r="R124" s="58">
        <f>M117*N122*O124</f>
        <v>0.45</v>
      </c>
      <c r="S124" s="84">
        <f>ROUNDUP(Q124*D2,0)</f>
        <v>0</v>
      </c>
      <c r="T124" s="55" t="e">
        <f t="shared" si="75"/>
        <v>#DIV/0!</v>
      </c>
      <c r="U124" s="318">
        <f t="shared" si="65"/>
        <v>0</v>
      </c>
      <c r="V124" s="85" t="e">
        <f t="shared" si="66"/>
        <v>#DIV/0!</v>
      </c>
      <c r="W124" s="46" t="e">
        <f t="shared" si="76"/>
        <v>#DIV/0!</v>
      </c>
      <c r="X124" s="319"/>
      <c r="Y124" s="377"/>
      <c r="Z124" s="384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  <c r="AL124" s="319"/>
      <c r="AM124" s="319"/>
      <c r="AN124" s="319"/>
    </row>
    <row r="125" spans="1:40" ht="29" x14ac:dyDescent="0.35">
      <c r="A125" s="542"/>
      <c r="B125" s="535"/>
      <c r="C125" s="67" t="s">
        <v>193</v>
      </c>
      <c r="D125" s="316" t="s">
        <v>72</v>
      </c>
      <c r="E125" s="316" t="s">
        <v>72</v>
      </c>
      <c r="F125" s="50"/>
      <c r="G125" s="84">
        <f t="shared" si="72"/>
        <v>0</v>
      </c>
      <c r="H125" s="85" t="e">
        <f t="shared" si="73"/>
        <v>#DIV/0!</v>
      </c>
      <c r="I125" s="46" t="e">
        <f t="shared" si="74"/>
        <v>#DIV/0!</v>
      </c>
      <c r="J125" s="249">
        <f>AF125</f>
        <v>0</v>
      </c>
      <c r="K125" s="45" t="e">
        <f t="shared" ref="K125:L128" si="79">AI125</f>
        <v>#DIV/0!</v>
      </c>
      <c r="L125" s="195" t="e">
        <f t="shared" si="79"/>
        <v>#DIV/0!</v>
      </c>
      <c r="M125" s="427"/>
      <c r="N125" s="433"/>
      <c r="O125" s="295">
        <v>0.3</v>
      </c>
      <c r="P125" s="303" t="s">
        <v>220</v>
      </c>
      <c r="Q125" s="305">
        <v>0.02</v>
      </c>
      <c r="R125" s="58">
        <f>M117*N122*O125</f>
        <v>1.3499999999999999</v>
      </c>
      <c r="S125" s="84">
        <f>ROUNDUP(Q125*D2,0)</f>
        <v>0</v>
      </c>
      <c r="T125" s="55" t="e">
        <f t="shared" si="75"/>
        <v>#DIV/0!</v>
      </c>
      <c r="U125" s="318">
        <f t="shared" si="65"/>
        <v>0</v>
      </c>
      <c r="V125" s="85" t="e">
        <f t="shared" si="66"/>
        <v>#DIV/0!</v>
      </c>
      <c r="W125" s="46" t="e">
        <f t="shared" si="76"/>
        <v>#DIV/0!</v>
      </c>
      <c r="X125" s="319"/>
      <c r="Y125" s="377"/>
      <c r="Z125" s="385"/>
      <c r="AA125" s="285">
        <v>0.5</v>
      </c>
      <c r="AB125" s="52"/>
      <c r="AC125" s="286" t="s">
        <v>220</v>
      </c>
      <c r="AD125" s="219">
        <v>0.03</v>
      </c>
      <c r="AE125" s="86">
        <f>Y117*Z122*AA125</f>
        <v>1.5</v>
      </c>
      <c r="AF125" s="249">
        <f>AD125*$D$2</f>
        <v>0</v>
      </c>
      <c r="AG125" s="55" t="e">
        <f>AE125/AF125</f>
        <v>#DIV/0!</v>
      </c>
      <c r="AH125" s="318">
        <f>F125</f>
        <v>0</v>
      </c>
      <c r="AI125" s="45" t="e">
        <f>IF(AH125/AF125*AE125&gt;AE125,AE125,AH125/AF125*AE125)</f>
        <v>#DIV/0!</v>
      </c>
      <c r="AJ125" s="195" t="e">
        <f>AI125/AE125</f>
        <v>#DIV/0!</v>
      </c>
      <c r="AK125" s="196" t="e">
        <f>IF(AH125/AF125*AE125&gt;AE125,AE125,AH125/AF125*AE125)</f>
        <v>#DIV/0!</v>
      </c>
      <c r="AL125" s="195" t="e">
        <f>AK125/AE125</f>
        <v>#DIV/0!</v>
      </c>
      <c r="AM125" s="241">
        <f>AE125</f>
        <v>1.5</v>
      </c>
      <c r="AN125" s="110"/>
    </row>
    <row r="126" spans="1:40" x14ac:dyDescent="0.35">
      <c r="A126" s="540">
        <v>6</v>
      </c>
      <c r="B126" s="510" t="s">
        <v>187</v>
      </c>
      <c r="C126" s="67" t="s">
        <v>188</v>
      </c>
      <c r="D126" s="316" t="s">
        <v>72</v>
      </c>
      <c r="E126" s="316" t="s">
        <v>72</v>
      </c>
      <c r="F126" s="50"/>
      <c r="G126" s="84">
        <f t="shared" si="72"/>
        <v>0</v>
      </c>
      <c r="H126" s="85" t="e">
        <f t="shared" si="73"/>
        <v>#DIV/0!</v>
      </c>
      <c r="I126" s="46" t="e">
        <f t="shared" si="74"/>
        <v>#DIV/0!</v>
      </c>
      <c r="J126" s="249">
        <f>AF126</f>
        <v>0</v>
      </c>
      <c r="K126" s="45" t="e">
        <f t="shared" si="79"/>
        <v>#DIV/0!</v>
      </c>
      <c r="L126" s="195" t="e">
        <f t="shared" si="79"/>
        <v>#DIV/0!</v>
      </c>
      <c r="M126" s="427"/>
      <c r="N126" s="433">
        <v>0.1</v>
      </c>
      <c r="O126" s="295">
        <v>0.35</v>
      </c>
      <c r="P126" s="492" t="s">
        <v>0</v>
      </c>
      <c r="Q126" s="302">
        <v>15</v>
      </c>
      <c r="R126" s="58">
        <f>M117*N126*O126</f>
        <v>0.35</v>
      </c>
      <c r="S126" s="84">
        <f>ROUNDUP(Q126*$D$2/1500,0)</f>
        <v>0</v>
      </c>
      <c r="T126" s="55" t="e">
        <f>R126/S126</f>
        <v>#DIV/0!</v>
      </c>
      <c r="U126" s="318">
        <f t="shared" si="65"/>
        <v>0</v>
      </c>
      <c r="V126" s="85" t="e">
        <f t="shared" si="66"/>
        <v>#DIV/0!</v>
      </c>
      <c r="W126" s="46" t="e">
        <f t="shared" si="76"/>
        <v>#DIV/0!</v>
      </c>
      <c r="X126" s="319"/>
      <c r="Y126" s="377"/>
      <c r="Z126" s="357">
        <v>0.2</v>
      </c>
      <c r="AA126" s="285">
        <v>0.35</v>
      </c>
      <c r="AB126" s="52"/>
      <c r="AC126" s="286" t="s">
        <v>0</v>
      </c>
      <c r="AD126" s="290">
        <v>15</v>
      </c>
      <c r="AE126" s="86">
        <f>Y117*Z126*AA126</f>
        <v>0.84000000000000008</v>
      </c>
      <c r="AF126" s="249">
        <f>IF(ROUNDUP(AD126*$D$2/1500,0)&gt;AD126,AD126,ROUNDUP(AD126*$D$2/1500,0))</f>
        <v>0</v>
      </c>
      <c r="AG126" s="55" t="e">
        <f>AE126/AF126</f>
        <v>#DIV/0!</v>
      </c>
      <c r="AH126" s="318">
        <f>F126</f>
        <v>0</v>
      </c>
      <c r="AI126" s="45" t="e">
        <f>IF(AH126/AF126*AE126&gt;AE126,AE126,AH126/AF126*AE126)</f>
        <v>#DIV/0!</v>
      </c>
      <c r="AJ126" s="195" t="e">
        <f>AI126/AE126</f>
        <v>#DIV/0!</v>
      </c>
      <c r="AK126" s="196" t="e">
        <f>IF(AH126/AF126*AE126&gt;AE126,AE126,AH126/AF126*AE126)</f>
        <v>#DIV/0!</v>
      </c>
      <c r="AL126" s="195" t="e">
        <f>AK126/AE126</f>
        <v>#DIV/0!</v>
      </c>
      <c r="AM126" s="241">
        <f>AE126</f>
        <v>0.84000000000000008</v>
      </c>
      <c r="AN126" s="110"/>
    </row>
    <row r="127" spans="1:40" x14ac:dyDescent="0.35">
      <c r="A127" s="541"/>
      <c r="B127" s="510"/>
      <c r="C127" s="67" t="s">
        <v>189</v>
      </c>
      <c r="D127" s="316" t="s">
        <v>72</v>
      </c>
      <c r="E127" s="316" t="s">
        <v>72</v>
      </c>
      <c r="F127" s="50"/>
      <c r="G127" s="84">
        <f t="shared" si="72"/>
        <v>0</v>
      </c>
      <c r="H127" s="85" t="e">
        <f t="shared" si="73"/>
        <v>#DIV/0!</v>
      </c>
      <c r="I127" s="46" t="e">
        <f t="shared" si="74"/>
        <v>#DIV/0!</v>
      </c>
      <c r="J127" s="249">
        <f>AF127</f>
        <v>0</v>
      </c>
      <c r="K127" s="45" t="e">
        <f t="shared" si="79"/>
        <v>#DIV/0!</v>
      </c>
      <c r="L127" s="195" t="e">
        <f t="shared" si="79"/>
        <v>#DIV/0!</v>
      </c>
      <c r="M127" s="427"/>
      <c r="N127" s="433"/>
      <c r="O127" s="295">
        <v>0.25</v>
      </c>
      <c r="P127" s="492"/>
      <c r="Q127" s="302">
        <v>15</v>
      </c>
      <c r="R127" s="283">
        <f>M117*N126*O127</f>
        <v>0.25</v>
      </c>
      <c r="S127" s="84">
        <f>ROUNDUP(Q127*$D$2/1500,0)</f>
        <v>0</v>
      </c>
      <c r="T127" s="55" t="e">
        <f t="shared" ref="T127:T129" si="80">R127/S127</f>
        <v>#DIV/0!</v>
      </c>
      <c r="U127" s="318">
        <f t="shared" si="65"/>
        <v>0</v>
      </c>
      <c r="V127" s="85" t="e">
        <f t="shared" si="66"/>
        <v>#DIV/0!</v>
      </c>
      <c r="W127" s="46" t="e">
        <f t="shared" si="76"/>
        <v>#DIV/0!</v>
      </c>
      <c r="X127" s="319"/>
      <c r="Y127" s="377"/>
      <c r="Z127" s="358"/>
      <c r="AA127" s="285">
        <v>0.25</v>
      </c>
      <c r="AB127" s="52"/>
      <c r="AC127" s="286"/>
      <c r="AD127" s="290">
        <v>15</v>
      </c>
      <c r="AE127" s="58">
        <f>Y117*Z126*AA127</f>
        <v>0.60000000000000009</v>
      </c>
      <c r="AF127" s="249">
        <f>IF(ROUNDUP(AD127*$D$2/1500,0)&gt;AD127,AD127,ROUNDUP(AD127*$D$2/1500,0))</f>
        <v>0</v>
      </c>
      <c r="AG127" s="55" t="e">
        <f>AE127/AF127</f>
        <v>#DIV/0!</v>
      </c>
      <c r="AH127" s="318">
        <f>F127</f>
        <v>0</v>
      </c>
      <c r="AI127" s="45" t="e">
        <f>IF(AH127/AF127*AE127&gt;AE127,AE127,AH127/AF127*AE127)</f>
        <v>#DIV/0!</v>
      </c>
      <c r="AJ127" s="195" t="e">
        <f>AI127/AE127</f>
        <v>#DIV/0!</v>
      </c>
      <c r="AK127" s="196" t="e">
        <f>IF(AH127/AF127*AE127&gt;AE127,AE127,AH127/AF127*AE127)</f>
        <v>#DIV/0!</v>
      </c>
      <c r="AL127" s="195" t="e">
        <f>AK127/AE127</f>
        <v>#DIV/0!</v>
      </c>
      <c r="AM127" s="241">
        <f>AE127</f>
        <v>0.60000000000000009</v>
      </c>
      <c r="AN127" s="110"/>
    </row>
    <row r="128" spans="1:40" ht="29" x14ac:dyDescent="0.35">
      <c r="A128" s="542"/>
      <c r="B128" s="510"/>
      <c r="C128" s="67" t="s">
        <v>194</v>
      </c>
      <c r="D128" s="316" t="s">
        <v>72</v>
      </c>
      <c r="E128" s="316" t="s">
        <v>72</v>
      </c>
      <c r="F128" s="50"/>
      <c r="G128" s="84">
        <f t="shared" si="72"/>
        <v>0</v>
      </c>
      <c r="H128" s="85" t="e">
        <f t="shared" si="73"/>
        <v>#DIV/0!</v>
      </c>
      <c r="I128" s="46" t="e">
        <f t="shared" si="74"/>
        <v>#DIV/0!</v>
      </c>
      <c r="J128" s="249">
        <f>AF128</f>
        <v>0</v>
      </c>
      <c r="K128" s="45" t="e">
        <f t="shared" si="79"/>
        <v>#DIV/0!</v>
      </c>
      <c r="L128" s="195" t="e">
        <f t="shared" si="79"/>
        <v>#DIV/0!</v>
      </c>
      <c r="M128" s="427"/>
      <c r="N128" s="433"/>
      <c r="O128" s="295">
        <v>0.4</v>
      </c>
      <c r="P128" s="492"/>
      <c r="Q128" s="302">
        <v>60</v>
      </c>
      <c r="R128" s="283">
        <f>M117*N126*O128</f>
        <v>0.4</v>
      </c>
      <c r="S128" s="84">
        <f>ROUNDUP(Q128*$D$2/1500,0)</f>
        <v>0</v>
      </c>
      <c r="T128" s="55" t="e">
        <f t="shared" si="80"/>
        <v>#DIV/0!</v>
      </c>
      <c r="U128" s="318">
        <f t="shared" si="65"/>
        <v>0</v>
      </c>
      <c r="V128" s="85" t="e">
        <f t="shared" si="66"/>
        <v>#DIV/0!</v>
      </c>
      <c r="W128" s="46" t="e">
        <f t="shared" si="76"/>
        <v>#DIV/0!</v>
      </c>
      <c r="X128" s="319"/>
      <c r="Y128" s="377"/>
      <c r="Z128" s="359"/>
      <c r="AA128" s="285">
        <v>0.4</v>
      </c>
      <c r="AB128" s="52"/>
      <c r="AC128" s="286"/>
      <c r="AD128" s="290">
        <v>60</v>
      </c>
      <c r="AE128" s="58">
        <f>Y117*Z126*AA128</f>
        <v>0.96000000000000019</v>
      </c>
      <c r="AF128" s="249">
        <f>IF(ROUNDUP(AD128*$D$2/1500,0)&gt;AD128,AD128,ROUNDUP(AD128*$D$2/1500,0))</f>
        <v>0</v>
      </c>
      <c r="AG128" s="55" t="e">
        <f>AE128/AF128</f>
        <v>#DIV/0!</v>
      </c>
      <c r="AH128" s="318">
        <f>F128</f>
        <v>0</v>
      </c>
      <c r="AI128" s="45" t="e">
        <f>IF(AH128/AF128*AE128&gt;AE128,AE128,AH128/AF128*AE128)</f>
        <v>#DIV/0!</v>
      </c>
      <c r="AJ128" s="195" t="e">
        <f>AI128/AE128</f>
        <v>#DIV/0!</v>
      </c>
      <c r="AK128" s="196" t="e">
        <f>IF(AH128/AF128*AE128&gt;AE128,AE128,AH128/AF128*AE128)</f>
        <v>#DIV/0!</v>
      </c>
      <c r="AL128" s="195" t="e">
        <f>AK128/AE128</f>
        <v>#DIV/0!</v>
      </c>
      <c r="AM128" s="241">
        <f>AE128</f>
        <v>0.96000000000000019</v>
      </c>
      <c r="AN128" s="110"/>
    </row>
    <row r="129" spans="1:40" ht="29" x14ac:dyDescent="0.35">
      <c r="A129" s="496">
        <v>7</v>
      </c>
      <c r="B129" s="543" t="s">
        <v>190</v>
      </c>
      <c r="C129" s="67" t="s">
        <v>191</v>
      </c>
      <c r="D129" s="316" t="s">
        <v>72</v>
      </c>
      <c r="E129" s="316" t="s">
        <v>43</v>
      </c>
      <c r="F129" s="50"/>
      <c r="G129" s="84">
        <f t="shared" si="72"/>
        <v>0</v>
      </c>
      <c r="H129" s="85" t="e">
        <f t="shared" si="73"/>
        <v>#DIV/0!</v>
      </c>
      <c r="I129" s="46" t="e">
        <f t="shared" si="74"/>
        <v>#DIV/0!</v>
      </c>
      <c r="J129" s="319"/>
      <c r="K129" s="319"/>
      <c r="L129" s="319"/>
      <c r="M129" s="427"/>
      <c r="N129" s="88">
        <v>0.15</v>
      </c>
      <c r="O129" s="295">
        <v>1</v>
      </c>
      <c r="P129" s="303" t="s">
        <v>216</v>
      </c>
      <c r="Q129" s="302">
        <v>5</v>
      </c>
      <c r="R129" s="283">
        <f>M117*N129*O129</f>
        <v>1.5</v>
      </c>
      <c r="S129" s="84">
        <f>ROUNDUP(Q129*$D$2/1500,0)</f>
        <v>0</v>
      </c>
      <c r="T129" s="55" t="e">
        <f t="shared" si="80"/>
        <v>#DIV/0!</v>
      </c>
      <c r="U129" s="318">
        <f t="shared" si="65"/>
        <v>0</v>
      </c>
      <c r="V129" s="85" t="e">
        <f t="shared" si="66"/>
        <v>#DIV/0!</v>
      </c>
      <c r="W129" s="46" t="e">
        <f t="shared" si="76"/>
        <v>#DIV/0!</v>
      </c>
      <c r="X129" s="319"/>
      <c r="Y129" s="377"/>
      <c r="Z129" s="319"/>
      <c r="AA129" s="319"/>
      <c r="AB129" s="319"/>
      <c r="AC129" s="319"/>
      <c r="AD129" s="319"/>
      <c r="AE129" s="319"/>
      <c r="AF129" s="319"/>
      <c r="AG129" s="319"/>
      <c r="AH129" s="319"/>
      <c r="AI129" s="319"/>
      <c r="AJ129" s="319"/>
      <c r="AK129" s="319"/>
      <c r="AL129" s="319"/>
      <c r="AM129" s="319"/>
      <c r="AN129" s="319"/>
    </row>
    <row r="130" spans="1:40" x14ac:dyDescent="0.35">
      <c r="A130" s="498"/>
      <c r="B130" s="544"/>
      <c r="C130" s="4" t="s">
        <v>195</v>
      </c>
      <c r="D130" s="316" t="s">
        <v>43</v>
      </c>
      <c r="E130" s="316" t="s">
        <v>72</v>
      </c>
      <c r="F130" s="50"/>
      <c r="G130" s="333"/>
      <c r="H130" s="333"/>
      <c r="I130" s="333"/>
      <c r="J130" s="249">
        <f>AF130</f>
        <v>1</v>
      </c>
      <c r="K130" s="45">
        <f>AI130</f>
        <v>0</v>
      </c>
      <c r="L130" s="195">
        <f>AJ130</f>
        <v>0</v>
      </c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19"/>
      <c r="Y130" s="378"/>
      <c r="Z130" s="291">
        <v>0.15</v>
      </c>
      <c r="AA130" s="285">
        <v>1</v>
      </c>
      <c r="AB130" s="52"/>
      <c r="AC130" s="286" t="s">
        <v>43</v>
      </c>
      <c r="AD130" s="290">
        <v>5</v>
      </c>
      <c r="AE130" s="58">
        <f>Y117*Z130*AA130</f>
        <v>1.7999999999999998</v>
      </c>
      <c r="AF130" s="249">
        <v>1</v>
      </c>
      <c r="AG130" s="55">
        <f>AE130/AF130</f>
        <v>1.7999999999999998</v>
      </c>
      <c r="AH130" s="318">
        <f>F130</f>
        <v>0</v>
      </c>
      <c r="AI130" s="45">
        <f>IF(AH130/AF130*AE130&gt;AE130,AE130,AH130/AF130*AE130)</f>
        <v>0</v>
      </c>
      <c r="AJ130" s="195">
        <f>AI130/AE130</f>
        <v>0</v>
      </c>
      <c r="AK130" s="196">
        <f>IF(AH130/AF130*AE130&gt;AE130,AE130,AH130/AF130*AE130)</f>
        <v>0</v>
      </c>
      <c r="AL130" s="195">
        <f>AK130/AE130</f>
        <v>0</v>
      </c>
      <c r="AM130" s="241">
        <f>AE130</f>
        <v>1.7999999999999998</v>
      </c>
      <c r="AN130" s="110"/>
    </row>
    <row r="131" spans="1:40" x14ac:dyDescent="0.35">
      <c r="A131" s="533" t="s">
        <v>192</v>
      </c>
      <c r="B131" s="533"/>
      <c r="C131" s="533"/>
      <c r="H131" s="82" t="e">
        <f>V131</f>
        <v>#DIV/0!</v>
      </c>
      <c r="I131" s="46" t="e">
        <f>W131</f>
        <v>#DIV/0!</v>
      </c>
      <c r="K131" s="105" t="e">
        <f>AI131</f>
        <v>#DIV/0!</v>
      </c>
      <c r="L131" s="195" t="e">
        <f>AJ131</f>
        <v>#DIV/0!</v>
      </c>
      <c r="M131" s="92">
        <f>SUM(M117)</f>
        <v>10</v>
      </c>
      <c r="N131" s="89">
        <f>SUM(N117:N129)</f>
        <v>1</v>
      </c>
      <c r="O131" s="90"/>
      <c r="P131" s="90"/>
      <c r="Q131" s="81"/>
      <c r="R131" s="91">
        <f>SUM(R117:R129)</f>
        <v>10.000000000000002</v>
      </c>
      <c r="S131" s="69"/>
      <c r="T131" s="69"/>
      <c r="U131" s="69"/>
      <c r="V131" s="82" t="e">
        <f>SUM(V117:V129)</f>
        <v>#DIV/0!</v>
      </c>
      <c r="W131" s="46" t="e">
        <f>V131/R131</f>
        <v>#DIV/0!</v>
      </c>
      <c r="X131" s="319"/>
      <c r="Y131" s="91">
        <f>SUM(Y117)</f>
        <v>12</v>
      </c>
      <c r="Z131" s="180">
        <f>SUM(Z117:Z130)</f>
        <v>1</v>
      </c>
      <c r="AA131" s="250"/>
      <c r="AB131" s="250"/>
      <c r="AC131" s="250"/>
      <c r="AD131" s="250"/>
      <c r="AE131" s="251">
        <f>SUM(AE117:AE130)</f>
        <v>12</v>
      </c>
      <c r="AF131" s="252"/>
      <c r="AG131" s="253"/>
      <c r="AH131" s="252"/>
      <c r="AI131" s="105" t="e">
        <f>SUM(AI117:AI130)</f>
        <v>#DIV/0!</v>
      </c>
      <c r="AJ131" s="195" t="e">
        <f>AI131/AE131</f>
        <v>#DIV/0!</v>
      </c>
      <c r="AK131" s="203" t="e">
        <f>IF(SUM(AK117:AK130)&gt;AM131,AM131,SUM(AK117:AK130))</f>
        <v>#DIV/0!</v>
      </c>
      <c r="AL131" s="195" t="e">
        <f>AK131/AE131</f>
        <v>#DIV/0!</v>
      </c>
      <c r="AM131" s="248">
        <f>SUM(AM117:AM130)</f>
        <v>12</v>
      </c>
      <c r="AN131" s="110"/>
    </row>
    <row r="133" spans="1:40" x14ac:dyDescent="0.35">
      <c r="A133" s="523" t="s">
        <v>210</v>
      </c>
      <c r="B133" s="523"/>
      <c r="C133" s="523"/>
      <c r="D133" s="523"/>
      <c r="E133" s="523"/>
      <c r="F133" s="523"/>
      <c r="G133" s="341" t="s">
        <v>70</v>
      </c>
      <c r="H133" s="342"/>
      <c r="I133" s="343"/>
      <c r="J133" s="335" t="s">
        <v>71</v>
      </c>
      <c r="K133" s="335"/>
      <c r="L133" s="335"/>
      <c r="M133" s="417" t="s">
        <v>70</v>
      </c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335" t="s">
        <v>71</v>
      </c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  <c r="AK133" s="335"/>
      <c r="AL133" s="335"/>
      <c r="AM133" s="335"/>
      <c r="AN133" s="335"/>
    </row>
    <row r="134" spans="1:40" ht="29" x14ac:dyDescent="0.35">
      <c r="A134" s="68" t="s">
        <v>43</v>
      </c>
      <c r="B134" s="68" t="s">
        <v>44</v>
      </c>
      <c r="C134" s="68" t="s">
        <v>45</v>
      </c>
      <c r="D134" s="292" t="s">
        <v>70</v>
      </c>
      <c r="E134" s="64" t="s">
        <v>71</v>
      </c>
      <c r="F134" s="41" t="s">
        <v>2</v>
      </c>
      <c r="G134" s="70" t="s">
        <v>76</v>
      </c>
      <c r="H134" s="75" t="s">
        <v>215</v>
      </c>
      <c r="I134" s="68" t="s">
        <v>223</v>
      </c>
      <c r="J134" s="37" t="s">
        <v>76</v>
      </c>
      <c r="K134" s="3" t="s">
        <v>63</v>
      </c>
      <c r="L134" s="3" t="s">
        <v>223</v>
      </c>
      <c r="M134" s="68" t="s">
        <v>63</v>
      </c>
      <c r="N134" s="68" t="s">
        <v>64</v>
      </c>
      <c r="O134" s="68" t="s">
        <v>211</v>
      </c>
      <c r="P134" s="70" t="s">
        <v>76</v>
      </c>
      <c r="Q134" s="71" t="s">
        <v>212</v>
      </c>
      <c r="R134" s="72" t="s">
        <v>213</v>
      </c>
      <c r="S134" s="73" t="s">
        <v>81</v>
      </c>
      <c r="T134" s="74" t="s">
        <v>214</v>
      </c>
      <c r="U134" s="75" t="s">
        <v>215</v>
      </c>
      <c r="V134" s="68" t="s">
        <v>79</v>
      </c>
      <c r="W134" s="319"/>
      <c r="X134" s="319"/>
      <c r="Y134" s="292" t="s">
        <v>63</v>
      </c>
      <c r="Z134" s="292" t="s">
        <v>64</v>
      </c>
      <c r="AA134" s="292" t="s">
        <v>73</v>
      </c>
      <c r="AB134" s="292" t="s">
        <v>227</v>
      </c>
      <c r="AC134" s="292" t="s">
        <v>218</v>
      </c>
      <c r="AD134" s="24" t="s">
        <v>74</v>
      </c>
      <c r="AE134" s="24" t="s">
        <v>245</v>
      </c>
      <c r="AF134" s="189" t="s">
        <v>76</v>
      </c>
      <c r="AG134" s="3" t="s">
        <v>81</v>
      </c>
      <c r="AH134" s="41" t="s">
        <v>2</v>
      </c>
      <c r="AI134" s="3" t="s">
        <v>246</v>
      </c>
      <c r="AJ134" s="3" t="s">
        <v>79</v>
      </c>
      <c r="AK134" s="190" t="s">
        <v>247</v>
      </c>
      <c r="AL134" s="191" t="s">
        <v>248</v>
      </c>
      <c r="AM134" s="191" t="s">
        <v>251</v>
      </c>
      <c r="AN134" s="258" t="s">
        <v>252</v>
      </c>
    </row>
    <row r="135" spans="1:40" ht="43.5" x14ac:dyDescent="0.35">
      <c r="A135" s="302">
        <v>1</v>
      </c>
      <c r="B135" s="308" t="s">
        <v>196</v>
      </c>
      <c r="C135" s="19" t="s">
        <v>197</v>
      </c>
      <c r="D135" s="316" t="s">
        <v>72</v>
      </c>
      <c r="E135" s="316" t="s">
        <v>72</v>
      </c>
      <c r="F135" s="50"/>
      <c r="G135" s="76">
        <f>P135</f>
        <v>1</v>
      </c>
      <c r="H135" s="78">
        <f>U135</f>
        <v>0</v>
      </c>
      <c r="I135" s="46">
        <f>V135</f>
        <v>0</v>
      </c>
      <c r="J135" s="215">
        <f>AF135</f>
        <v>1</v>
      </c>
      <c r="K135" s="60">
        <f>AI135</f>
        <v>0</v>
      </c>
      <c r="L135" s="195">
        <f>AJ135</f>
        <v>0</v>
      </c>
      <c r="M135" s="489">
        <v>3</v>
      </c>
      <c r="N135" s="295">
        <v>0.66666666666666663</v>
      </c>
      <c r="O135" s="295">
        <v>1</v>
      </c>
      <c r="P135" s="76">
        <v>1</v>
      </c>
      <c r="Q135" s="302" t="s">
        <v>216</v>
      </c>
      <c r="R135" s="307">
        <f>M135*N135</f>
        <v>2</v>
      </c>
      <c r="S135" s="77">
        <f>R135/P135</f>
        <v>2</v>
      </c>
      <c r="T135" s="240">
        <f>F135</f>
        <v>0</v>
      </c>
      <c r="U135" s="78">
        <f>IF($F$135/$P$135*$R$135&gt;$R$135,$R$135,$F$135/$P$135*$R$135)</f>
        <v>0</v>
      </c>
      <c r="V135" s="46">
        <f>$U$135/$R$135</f>
        <v>0</v>
      </c>
      <c r="W135" s="319"/>
      <c r="X135" s="319"/>
      <c r="Y135" s="254">
        <v>3</v>
      </c>
      <c r="Z135" s="304">
        <v>1</v>
      </c>
      <c r="AA135" s="279">
        <v>100</v>
      </c>
      <c r="AB135" s="52"/>
      <c r="AC135" s="286" t="s">
        <v>257</v>
      </c>
      <c r="AD135" s="255">
        <v>5</v>
      </c>
      <c r="AE135" s="283">
        <v>3</v>
      </c>
      <c r="AF135" s="215">
        <v>1</v>
      </c>
      <c r="AG135" s="283">
        <f>AE135/AD135</f>
        <v>0.6</v>
      </c>
      <c r="AH135" s="318">
        <f>F135</f>
        <v>0</v>
      </c>
      <c r="AI135" s="60">
        <f>IF(AH135/AF135*AE135&gt;AE135,AE135,AH135/AF135*AE135)</f>
        <v>0</v>
      </c>
      <c r="AJ135" s="195">
        <f>AI135/AE135</f>
        <v>0</v>
      </c>
      <c r="AK135" s="204">
        <f>AH135/AF135*AE135</f>
        <v>0</v>
      </c>
      <c r="AL135" s="195">
        <f>AK135/AE135</f>
        <v>0</v>
      </c>
      <c r="AM135" s="204">
        <f>AE135</f>
        <v>3</v>
      </c>
      <c r="AN135" s="110"/>
    </row>
    <row r="136" spans="1:40" x14ac:dyDescent="0.35">
      <c r="A136" s="491">
        <v>2</v>
      </c>
      <c r="B136" s="546" t="s">
        <v>198</v>
      </c>
      <c r="C136" s="66" t="s">
        <v>199</v>
      </c>
      <c r="D136" s="524" t="s">
        <v>72</v>
      </c>
      <c r="E136" s="524" t="s">
        <v>43</v>
      </c>
      <c r="F136" s="545">
        <v>1200000</v>
      </c>
      <c r="G136" s="490">
        <f>P136</f>
        <v>1200000</v>
      </c>
      <c r="H136" s="493">
        <f>U136</f>
        <v>1</v>
      </c>
      <c r="I136" s="441">
        <f>V136</f>
        <v>1</v>
      </c>
      <c r="J136" s="120"/>
      <c r="K136" s="120"/>
      <c r="L136" s="120"/>
      <c r="M136" s="489"/>
      <c r="N136" s="443">
        <v>0.33333333333333331</v>
      </c>
      <c r="O136" s="443">
        <v>1</v>
      </c>
      <c r="P136" s="490">
        <v>1200000</v>
      </c>
      <c r="Q136" s="491" t="s">
        <v>217</v>
      </c>
      <c r="R136" s="496">
        <f>M135*N136</f>
        <v>1</v>
      </c>
      <c r="S136" s="499">
        <f>R136/P136</f>
        <v>8.3333333333333333E-7</v>
      </c>
      <c r="T136" s="502">
        <f>F136</f>
        <v>1200000</v>
      </c>
      <c r="U136" s="493">
        <f>IF($F$136/$P$136*$R$136&gt;$R$136,$R$136,$F$136/$P$136*$R$136)</f>
        <v>1</v>
      </c>
      <c r="V136" s="441">
        <f>$U$136/$R$136</f>
        <v>1</v>
      </c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  <c r="AN136" s="319"/>
    </row>
    <row r="137" spans="1:40" x14ac:dyDescent="0.35">
      <c r="A137" s="491"/>
      <c r="B137" s="546"/>
      <c r="C137" s="66" t="s">
        <v>200</v>
      </c>
      <c r="D137" s="534"/>
      <c r="E137" s="534"/>
      <c r="F137" s="545"/>
      <c r="G137" s="490"/>
      <c r="H137" s="494"/>
      <c r="I137" s="483"/>
      <c r="J137" s="120"/>
      <c r="K137" s="120"/>
      <c r="L137" s="120"/>
      <c r="M137" s="489"/>
      <c r="N137" s="443"/>
      <c r="O137" s="443"/>
      <c r="P137" s="490"/>
      <c r="Q137" s="491"/>
      <c r="R137" s="497"/>
      <c r="S137" s="500"/>
      <c r="T137" s="503"/>
      <c r="U137" s="494"/>
      <c r="V137" s="483"/>
      <c r="W137" s="319"/>
      <c r="X137" s="319"/>
      <c r="Y137" s="319"/>
      <c r="Z137" s="319"/>
      <c r="AA137" s="319"/>
      <c r="AB137" s="319"/>
      <c r="AC137" s="319"/>
      <c r="AD137" s="319"/>
      <c r="AE137" s="319"/>
      <c r="AF137" s="319"/>
      <c r="AG137" s="319"/>
      <c r="AH137" s="319"/>
      <c r="AI137" s="319"/>
      <c r="AJ137" s="319"/>
      <c r="AK137" s="319"/>
      <c r="AL137" s="319"/>
      <c r="AM137" s="319"/>
      <c r="AN137" s="319"/>
    </row>
    <row r="138" spans="1:40" x14ac:dyDescent="0.35">
      <c r="A138" s="491"/>
      <c r="B138" s="546"/>
      <c r="C138" s="66" t="s">
        <v>201</v>
      </c>
      <c r="D138" s="525"/>
      <c r="E138" s="525"/>
      <c r="F138" s="545"/>
      <c r="G138" s="490"/>
      <c r="H138" s="495"/>
      <c r="I138" s="442"/>
      <c r="J138" s="120"/>
      <c r="K138" s="120"/>
      <c r="L138" s="120"/>
      <c r="M138" s="489"/>
      <c r="N138" s="443"/>
      <c r="O138" s="443"/>
      <c r="P138" s="490"/>
      <c r="Q138" s="491"/>
      <c r="R138" s="498"/>
      <c r="S138" s="501"/>
      <c r="T138" s="504"/>
      <c r="U138" s="495"/>
      <c r="V138" s="442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</row>
    <row r="139" spans="1:40" x14ac:dyDescent="0.35">
      <c r="A139" s="69"/>
      <c r="B139" s="538" t="s">
        <v>202</v>
      </c>
      <c r="C139" s="539"/>
      <c r="H139" s="82">
        <f>U139</f>
        <v>1</v>
      </c>
      <c r="I139" s="46">
        <f>V139</f>
        <v>0.33333333333333331</v>
      </c>
      <c r="K139" s="91">
        <f>AI139</f>
        <v>0</v>
      </c>
      <c r="L139" s="46">
        <f>AJ139</f>
        <v>0</v>
      </c>
      <c r="M139" s="79">
        <f>SUM(M135)</f>
        <v>3</v>
      </c>
      <c r="N139" s="80">
        <f>SUM(N135:N138)</f>
        <v>1</v>
      </c>
      <c r="O139" s="81"/>
      <c r="P139" s="69"/>
      <c r="Q139" s="69"/>
      <c r="R139" s="69"/>
      <c r="S139" s="69"/>
      <c r="T139" s="69"/>
      <c r="U139" s="82">
        <f>SUM(U135:U138)</f>
        <v>1</v>
      </c>
      <c r="V139" s="46">
        <f>U139/M139</f>
        <v>0.33333333333333331</v>
      </c>
      <c r="W139" s="319"/>
      <c r="X139" s="319"/>
      <c r="Y139" s="256">
        <f>SUM(Y135:Y135)</f>
        <v>3</v>
      </c>
      <c r="Z139" s="201"/>
      <c r="AA139" s="201">
        <v>0.04</v>
      </c>
      <c r="AB139" s="257"/>
      <c r="AC139" s="257"/>
      <c r="AD139" s="257"/>
      <c r="AE139" s="91">
        <f>SUM(AE135)</f>
        <v>3</v>
      </c>
      <c r="AF139" s="149"/>
      <c r="AG139" s="149"/>
      <c r="AH139" s="149"/>
      <c r="AI139" s="91">
        <f>SUM(AI135)</f>
        <v>0</v>
      </c>
      <c r="AJ139" s="195">
        <f>AI139/AE139</f>
        <v>0</v>
      </c>
      <c r="AK139" s="207">
        <f>IF(SUM(AK135)&gt;AM139,AM139,SUM(AK135))</f>
        <v>0</v>
      </c>
      <c r="AL139" s="195">
        <f>AK139/AE139</f>
        <v>0</v>
      </c>
      <c r="AM139" s="207">
        <f>SUM(AM135)</f>
        <v>3</v>
      </c>
      <c r="AN139" s="110"/>
    </row>
  </sheetData>
  <sheetProtection algorithmName="SHA-512" hashValue="55lGelq99hKbOVrgEWuR7gJw436FQe1elZuBpC6OAszERkFqKg5lMZKa7hZOnqJojD0a584tQOhwuXM08KPSQw==" saltValue="IAV8r8++W9M7nxR4o1jvMQ==" spinCount="100000" sheet="1" objects="1" scenarios="1"/>
  <mergeCells count="317">
    <mergeCell ref="B120:B121"/>
    <mergeCell ref="A122:A123"/>
    <mergeCell ref="B122:B123"/>
    <mergeCell ref="A111:A112"/>
    <mergeCell ref="B111:B112"/>
    <mergeCell ref="A115:F115"/>
    <mergeCell ref="B139:C139"/>
    <mergeCell ref="D136:D138"/>
    <mergeCell ref="E136:E138"/>
    <mergeCell ref="B124:B125"/>
    <mergeCell ref="A126:A128"/>
    <mergeCell ref="B126:B128"/>
    <mergeCell ref="A124:A125"/>
    <mergeCell ref="A129:A130"/>
    <mergeCell ref="B129:B130"/>
    <mergeCell ref="A133:F133"/>
    <mergeCell ref="F136:F138"/>
    <mergeCell ref="A131:C131"/>
    <mergeCell ref="A136:A138"/>
    <mergeCell ref="B136:B138"/>
    <mergeCell ref="A113:C113"/>
    <mergeCell ref="A117:A118"/>
    <mergeCell ref="B117:B118"/>
    <mergeCell ref="A120:A121"/>
    <mergeCell ref="E111:E112"/>
    <mergeCell ref="A80:C80"/>
    <mergeCell ref="A101:A102"/>
    <mergeCell ref="B101:B102"/>
    <mergeCell ref="A104:A105"/>
    <mergeCell ref="B104:B105"/>
    <mergeCell ref="A106:A108"/>
    <mergeCell ref="B106:B108"/>
    <mergeCell ref="A84:A91"/>
    <mergeCell ref="B84:B91"/>
    <mergeCell ref="A93:A94"/>
    <mergeCell ref="B93:B94"/>
    <mergeCell ref="A97:C97"/>
    <mergeCell ref="A82:F82"/>
    <mergeCell ref="A99:F99"/>
    <mergeCell ref="D101:D105"/>
    <mergeCell ref="D106:D108"/>
    <mergeCell ref="E101:E102"/>
    <mergeCell ref="E104:E105"/>
    <mergeCell ref="E106:E108"/>
    <mergeCell ref="A75:A76"/>
    <mergeCell ref="B75:B76"/>
    <mergeCell ref="A77:A79"/>
    <mergeCell ref="B77:B79"/>
    <mergeCell ref="A55:C55"/>
    <mergeCell ref="B59:B64"/>
    <mergeCell ref="A59:A64"/>
    <mergeCell ref="A66:A68"/>
    <mergeCell ref="B66:B68"/>
    <mergeCell ref="A69:A70"/>
    <mergeCell ref="B69:B70"/>
    <mergeCell ref="A71:A72"/>
    <mergeCell ref="B71:B72"/>
    <mergeCell ref="A73:A74"/>
    <mergeCell ref="B73:B74"/>
    <mergeCell ref="A57:F57"/>
    <mergeCell ref="A5:F5"/>
    <mergeCell ref="G5:I5"/>
    <mergeCell ref="M5:X5"/>
    <mergeCell ref="A25:F25"/>
    <mergeCell ref="G25:I25"/>
    <mergeCell ref="Q53:Q54"/>
    <mergeCell ref="R53:R54"/>
    <mergeCell ref="S53:S54"/>
    <mergeCell ref="T53:T54"/>
    <mergeCell ref="U53:U54"/>
    <mergeCell ref="M25:X25"/>
    <mergeCell ref="A53:A54"/>
    <mergeCell ref="B53:B54"/>
    <mergeCell ref="D53:D54"/>
    <mergeCell ref="E53:E54"/>
    <mergeCell ref="A7:A11"/>
    <mergeCell ref="A12:A13"/>
    <mergeCell ref="A14:A17"/>
    <mergeCell ref="A18:A22"/>
    <mergeCell ref="B18:B22"/>
    <mergeCell ref="M7:M11"/>
    <mergeCell ref="J5:L5"/>
    <mergeCell ref="J25:L25"/>
    <mergeCell ref="M115:X115"/>
    <mergeCell ref="V101:V105"/>
    <mergeCell ref="V106:V108"/>
    <mergeCell ref="G136:G138"/>
    <mergeCell ref="H136:H138"/>
    <mergeCell ref="I136:I138"/>
    <mergeCell ref="N106:N108"/>
    <mergeCell ref="O106:O108"/>
    <mergeCell ref="Q106:Q108"/>
    <mergeCell ref="G133:I133"/>
    <mergeCell ref="G115:I115"/>
    <mergeCell ref="V136:V138"/>
    <mergeCell ref="M135:M138"/>
    <mergeCell ref="N136:N138"/>
    <mergeCell ref="O136:O138"/>
    <mergeCell ref="P136:P138"/>
    <mergeCell ref="Q136:Q138"/>
    <mergeCell ref="M117:M129"/>
    <mergeCell ref="N117:N121"/>
    <mergeCell ref="N122:N125"/>
    <mergeCell ref="N126:N128"/>
    <mergeCell ref="P126:P128"/>
    <mergeCell ref="U136:U138"/>
    <mergeCell ref="M133:X133"/>
    <mergeCell ref="R136:R138"/>
    <mergeCell ref="S136:S138"/>
    <mergeCell ref="T136:T138"/>
    <mergeCell ref="J133:L133"/>
    <mergeCell ref="J115:L115"/>
    <mergeCell ref="U106:U108"/>
    <mergeCell ref="N111:N112"/>
    <mergeCell ref="I101:I105"/>
    <mergeCell ref="I106:I108"/>
    <mergeCell ref="I111:I112"/>
    <mergeCell ref="O111:O112"/>
    <mergeCell ref="P111:P112"/>
    <mergeCell ref="Q111:Q112"/>
    <mergeCell ref="R111:R112"/>
    <mergeCell ref="U111:U112"/>
    <mergeCell ref="S101:S105"/>
    <mergeCell ref="U101:U105"/>
    <mergeCell ref="J101:J102"/>
    <mergeCell ref="J104:J105"/>
    <mergeCell ref="J106:J108"/>
    <mergeCell ref="J111:J112"/>
    <mergeCell ref="K101:K102"/>
    <mergeCell ref="L101:L102"/>
    <mergeCell ref="M101:M112"/>
    <mergeCell ref="N101:N105"/>
    <mergeCell ref="O101:O105"/>
    <mergeCell ref="P101:P110"/>
    <mergeCell ref="B7:B11"/>
    <mergeCell ref="B12:B13"/>
    <mergeCell ref="B14:B17"/>
    <mergeCell ref="O69:O70"/>
    <mergeCell ref="V111:V112"/>
    <mergeCell ref="G101:G105"/>
    <mergeCell ref="G106:G108"/>
    <mergeCell ref="G111:G112"/>
    <mergeCell ref="H101:H105"/>
    <mergeCell ref="H106:H108"/>
    <mergeCell ref="H111:H112"/>
    <mergeCell ref="Q101:Q105"/>
    <mergeCell ref="R101:R105"/>
    <mergeCell ref="G99:I99"/>
    <mergeCell ref="G82:I82"/>
    <mergeCell ref="G57:I57"/>
    <mergeCell ref="G84:G86"/>
    <mergeCell ref="G87:G89"/>
    <mergeCell ref="N12:N13"/>
    <mergeCell ref="N14:N17"/>
    <mergeCell ref="N18:N22"/>
    <mergeCell ref="R106:R108"/>
    <mergeCell ref="S106:S108"/>
    <mergeCell ref="D111:D112"/>
    <mergeCell ref="A23:C23"/>
    <mergeCell ref="M27:M43"/>
    <mergeCell ref="N27:N43"/>
    <mergeCell ref="O27:O35"/>
    <mergeCell ref="O40:O41"/>
    <mergeCell ref="M44:M52"/>
    <mergeCell ref="N44:N52"/>
    <mergeCell ref="O44:O46"/>
    <mergeCell ref="O47:O49"/>
    <mergeCell ref="O50:O52"/>
    <mergeCell ref="B27:B43"/>
    <mergeCell ref="A27:A43"/>
    <mergeCell ref="B44:B52"/>
    <mergeCell ref="A44:A52"/>
    <mergeCell ref="G53:G54"/>
    <mergeCell ref="H53:H54"/>
    <mergeCell ref="I53:I54"/>
    <mergeCell ref="M53:M54"/>
    <mergeCell ref="N53:N54"/>
    <mergeCell ref="M18:M22"/>
    <mergeCell ref="J57:L57"/>
    <mergeCell ref="J82:L82"/>
    <mergeCell ref="N7:N11"/>
    <mergeCell ref="M12:M13"/>
    <mergeCell ref="M14:M17"/>
    <mergeCell ref="W53:W54"/>
    <mergeCell ref="X53:X54"/>
    <mergeCell ref="O53:O54"/>
    <mergeCell ref="P53:P54"/>
    <mergeCell ref="Y5:AN5"/>
    <mergeCell ref="AA28:AA33"/>
    <mergeCell ref="AA35:AA37"/>
    <mergeCell ref="AA40:AA41"/>
    <mergeCell ref="AA44:AA46"/>
    <mergeCell ref="AA47:AA49"/>
    <mergeCell ref="AA50:AA52"/>
    <mergeCell ref="Y7:Y11"/>
    <mergeCell ref="Z7:Z11"/>
    <mergeCell ref="Y12:Y13"/>
    <mergeCell ref="Z12:Z13"/>
    <mergeCell ref="Y14:Y17"/>
    <mergeCell ref="Z14:Z17"/>
    <mergeCell ref="Y18:Y21"/>
    <mergeCell ref="Z18:Z21"/>
    <mergeCell ref="Y27:Y43"/>
    <mergeCell ref="Z27:Z43"/>
    <mergeCell ref="Y44:Y52"/>
    <mergeCell ref="Z44:Z52"/>
    <mergeCell ref="Y25:AN25"/>
    <mergeCell ref="AA106:AA108"/>
    <mergeCell ref="AB106:AB108"/>
    <mergeCell ref="AD106:AD108"/>
    <mergeCell ref="AE106:AE108"/>
    <mergeCell ref="AF106:AF108"/>
    <mergeCell ref="AG106:AG108"/>
    <mergeCell ref="AK101:AK102"/>
    <mergeCell ref="J99:L99"/>
    <mergeCell ref="N84:N86"/>
    <mergeCell ref="O84:O86"/>
    <mergeCell ref="P84:P86"/>
    <mergeCell ref="N93:N94"/>
    <mergeCell ref="M99:X99"/>
    <mergeCell ref="J84:J86"/>
    <mergeCell ref="J87:J89"/>
    <mergeCell ref="Q84:Q86"/>
    <mergeCell ref="R84:R86"/>
    <mergeCell ref="S84:S86"/>
    <mergeCell ref="N87:N89"/>
    <mergeCell ref="O87:O89"/>
    <mergeCell ref="P87:P89"/>
    <mergeCell ref="Q87:Q89"/>
    <mergeCell ref="R87:R89"/>
    <mergeCell ref="S87:S89"/>
    <mergeCell ref="M84:M96"/>
    <mergeCell ref="Y57:AN57"/>
    <mergeCell ref="Y84:Y96"/>
    <mergeCell ref="AB84:AB86"/>
    <mergeCell ref="AF84:AF86"/>
    <mergeCell ref="AB87:AB89"/>
    <mergeCell ref="AF87:AF89"/>
    <mergeCell ref="Z93:Z94"/>
    <mergeCell ref="M60:M79"/>
    <mergeCell ref="Y82:AN82"/>
    <mergeCell ref="P60:P65"/>
    <mergeCell ref="N77:N79"/>
    <mergeCell ref="N73:N76"/>
    <mergeCell ref="N60:N72"/>
    <mergeCell ref="O71:O72"/>
    <mergeCell ref="O66:O68"/>
    <mergeCell ref="M57:X57"/>
    <mergeCell ref="M82:X82"/>
    <mergeCell ref="P77:P79"/>
    <mergeCell ref="Z60:Z64"/>
    <mergeCell ref="Z78:Z79"/>
    <mergeCell ref="Y59:Y79"/>
    <mergeCell ref="AL101:AL102"/>
    <mergeCell ref="AM101:AM102"/>
    <mergeCell ref="AN101:AN102"/>
    <mergeCell ref="AH104:AH105"/>
    <mergeCell ref="AI104:AI105"/>
    <mergeCell ref="AJ104:AJ105"/>
    <mergeCell ref="AK104:AK105"/>
    <mergeCell ref="AL104:AL105"/>
    <mergeCell ref="Y99:AN99"/>
    <mergeCell ref="AH101:AH102"/>
    <mergeCell ref="AI101:AI102"/>
    <mergeCell ref="AJ101:AJ102"/>
    <mergeCell ref="AF101:AF102"/>
    <mergeCell ref="AG101:AG102"/>
    <mergeCell ref="Z104:Z105"/>
    <mergeCell ref="AA104:AA105"/>
    <mergeCell ref="AB104:AB105"/>
    <mergeCell ref="AD104:AD105"/>
    <mergeCell ref="AE104:AE105"/>
    <mergeCell ref="AF104:AF105"/>
    <mergeCell ref="AG104:AG105"/>
    <mergeCell ref="Y115:AN115"/>
    <mergeCell ref="Y133:AN133"/>
    <mergeCell ref="Y117:Y130"/>
    <mergeCell ref="Z126:Z128"/>
    <mergeCell ref="Z122:Z125"/>
    <mergeCell ref="Z117:Z121"/>
    <mergeCell ref="AK111:AK112"/>
    <mergeCell ref="AL111:AL112"/>
    <mergeCell ref="AM111:AM112"/>
    <mergeCell ref="AN111:AN112"/>
    <mergeCell ref="AE111:AE112"/>
    <mergeCell ref="AF111:AF112"/>
    <mergeCell ref="AG111:AG112"/>
    <mergeCell ref="AI111:AI112"/>
    <mergeCell ref="AJ111:AJ112"/>
    <mergeCell ref="Z111:Z112"/>
    <mergeCell ref="AA111:AA112"/>
    <mergeCell ref="AB111:AB112"/>
    <mergeCell ref="AC111:AC112"/>
    <mergeCell ref="AK106:AK108"/>
    <mergeCell ref="AL106:AL108"/>
    <mergeCell ref="AM106:AM108"/>
    <mergeCell ref="AD111:AD112"/>
    <mergeCell ref="AM104:AM105"/>
    <mergeCell ref="AN104:AN105"/>
    <mergeCell ref="Z106:Z108"/>
    <mergeCell ref="K104:K105"/>
    <mergeCell ref="L104:L105"/>
    <mergeCell ref="K106:K108"/>
    <mergeCell ref="L106:L108"/>
    <mergeCell ref="K111:K112"/>
    <mergeCell ref="L111:L112"/>
    <mergeCell ref="AN106:AN108"/>
    <mergeCell ref="AH106:AH108"/>
    <mergeCell ref="AI106:AI108"/>
    <mergeCell ref="AJ106:AJ108"/>
    <mergeCell ref="Y101:Y112"/>
    <mergeCell ref="Z101:Z102"/>
    <mergeCell ref="AA101:AA102"/>
    <mergeCell ref="AB101:AB102"/>
    <mergeCell ref="AC101:AC110"/>
    <mergeCell ref="AD101:AD102"/>
    <mergeCell ref="AE101:AE102"/>
  </mergeCells>
  <conditionalFormatting sqref="W117:W129 W131 X78:X80">
    <cfRule type="cellIs" dxfId="413" priority="433" operator="lessThan">
      <formula>0.5</formula>
    </cfRule>
    <cfRule type="cellIs" dxfId="412" priority="434" operator="between">
      <formula>0.5</formula>
      <formula>0.75</formula>
    </cfRule>
    <cfRule type="cellIs" dxfId="411" priority="435" operator="between">
      <formula>0.75</formula>
      <formula>1</formula>
    </cfRule>
    <cfRule type="cellIs" dxfId="410" priority="436" operator="greaterThan">
      <formula>1</formula>
    </cfRule>
  </conditionalFormatting>
  <conditionalFormatting sqref="D8 D40:E52 D36:E38">
    <cfRule type="cellIs" dxfId="409" priority="427" operator="equal">
      <formula>"No"</formula>
    </cfRule>
    <cfRule type="cellIs" dxfId="408" priority="428" operator="equal">
      <formula>"Yes"</formula>
    </cfRule>
  </conditionalFormatting>
  <conditionalFormatting sqref="D9:D13">
    <cfRule type="cellIs" dxfId="407" priority="425" operator="equal">
      <formula>"No"</formula>
    </cfRule>
    <cfRule type="cellIs" dxfId="406" priority="426" operator="equal">
      <formula>"Yes"</formula>
    </cfRule>
  </conditionalFormatting>
  <conditionalFormatting sqref="E8:E13">
    <cfRule type="cellIs" dxfId="405" priority="423" operator="equal">
      <formula>"No"</formula>
    </cfRule>
    <cfRule type="cellIs" dxfId="404" priority="424" operator="equal">
      <formula>"Yes"</formula>
    </cfRule>
  </conditionalFormatting>
  <conditionalFormatting sqref="D15:E22">
    <cfRule type="cellIs" dxfId="403" priority="421" operator="equal">
      <formula>"No"</formula>
    </cfRule>
    <cfRule type="cellIs" dxfId="402" priority="422" operator="equal">
      <formula>"Yes"</formula>
    </cfRule>
  </conditionalFormatting>
  <conditionalFormatting sqref="D28:E33">
    <cfRule type="cellIs" dxfId="401" priority="419" operator="equal">
      <formula>"No"</formula>
    </cfRule>
    <cfRule type="cellIs" dxfId="400" priority="420" operator="equal">
      <formula>"Yes"</formula>
    </cfRule>
  </conditionalFormatting>
  <conditionalFormatting sqref="D35:E35">
    <cfRule type="cellIs" dxfId="399" priority="417" operator="equal">
      <formula>"No"</formula>
    </cfRule>
    <cfRule type="cellIs" dxfId="398" priority="418" operator="equal">
      <formula>"Yes"</formula>
    </cfRule>
  </conditionalFormatting>
  <conditionalFormatting sqref="D60:E76">
    <cfRule type="cellIs" dxfId="397" priority="413" operator="equal">
      <formula>"No"</formula>
    </cfRule>
    <cfRule type="cellIs" dxfId="396" priority="414" operator="equal">
      <formula>"Yes"</formula>
    </cfRule>
  </conditionalFormatting>
  <conditionalFormatting sqref="D78:E79">
    <cfRule type="cellIs" dxfId="395" priority="411" operator="equal">
      <formula>"No"</formula>
    </cfRule>
    <cfRule type="cellIs" dxfId="394" priority="412" operator="equal">
      <formula>"Yes"</formula>
    </cfRule>
  </conditionalFormatting>
  <conditionalFormatting sqref="D84:E96">
    <cfRule type="cellIs" dxfId="393" priority="409" operator="equal">
      <formula>"No"</formula>
    </cfRule>
    <cfRule type="cellIs" dxfId="392" priority="410" operator="equal">
      <formula>"Yes"</formula>
    </cfRule>
  </conditionalFormatting>
  <conditionalFormatting sqref="E126:E129">
    <cfRule type="cellIs" dxfId="391" priority="393" operator="equal">
      <formula>"No"</formula>
    </cfRule>
    <cfRule type="cellIs" dxfId="390" priority="394" operator="equal">
      <formula>"Yes"</formula>
    </cfRule>
  </conditionalFormatting>
  <conditionalFormatting sqref="D101:E101 D106 E103:E104 D109:E111">
    <cfRule type="cellIs" dxfId="389" priority="407" operator="equal">
      <formula>"No"</formula>
    </cfRule>
    <cfRule type="cellIs" dxfId="388" priority="408" operator="equal">
      <formula>"Yes"</formula>
    </cfRule>
  </conditionalFormatting>
  <conditionalFormatting sqref="E106">
    <cfRule type="cellIs" dxfId="387" priority="405" operator="equal">
      <formula>"No"</formula>
    </cfRule>
    <cfRule type="cellIs" dxfId="386" priority="406" operator="equal">
      <formula>"Yes"</formula>
    </cfRule>
  </conditionalFormatting>
  <conditionalFormatting sqref="E130">
    <cfRule type="cellIs" dxfId="385" priority="385" operator="equal">
      <formula>"No"</formula>
    </cfRule>
    <cfRule type="cellIs" dxfId="384" priority="386" operator="equal">
      <formula>"Yes"</formula>
    </cfRule>
  </conditionalFormatting>
  <conditionalFormatting sqref="E136">
    <cfRule type="cellIs" dxfId="383" priority="377" operator="equal">
      <formula>"No"</formula>
    </cfRule>
    <cfRule type="cellIs" dxfId="382" priority="378" operator="equal">
      <formula>"Yes"</formula>
    </cfRule>
  </conditionalFormatting>
  <conditionalFormatting sqref="D117:D129">
    <cfRule type="cellIs" dxfId="381" priority="403" operator="equal">
      <formula>"No"</formula>
    </cfRule>
    <cfRule type="cellIs" dxfId="380" priority="404" operator="equal">
      <formula>"Yes"</formula>
    </cfRule>
  </conditionalFormatting>
  <conditionalFormatting sqref="E117:E118">
    <cfRule type="cellIs" dxfId="379" priority="401" operator="equal">
      <formula>"No"</formula>
    </cfRule>
    <cfRule type="cellIs" dxfId="378" priority="402" operator="equal">
      <formula>"Yes"</formula>
    </cfRule>
  </conditionalFormatting>
  <conditionalFormatting sqref="E121">
    <cfRule type="cellIs" dxfId="377" priority="399" operator="equal">
      <formula>"No"</formula>
    </cfRule>
    <cfRule type="cellIs" dxfId="376" priority="400" operator="equal">
      <formula>"Yes"</formula>
    </cfRule>
  </conditionalFormatting>
  <conditionalFormatting sqref="E122:E123">
    <cfRule type="cellIs" dxfId="375" priority="397" operator="equal">
      <formula>"No"</formula>
    </cfRule>
    <cfRule type="cellIs" dxfId="374" priority="398" operator="equal">
      <formula>"Yes"</formula>
    </cfRule>
  </conditionalFormatting>
  <conditionalFormatting sqref="E125">
    <cfRule type="cellIs" dxfId="373" priority="395" operator="equal">
      <formula>"No"</formula>
    </cfRule>
    <cfRule type="cellIs" dxfId="372" priority="396" operator="equal">
      <formula>"Yes"</formula>
    </cfRule>
  </conditionalFormatting>
  <conditionalFormatting sqref="E124">
    <cfRule type="cellIs" dxfId="371" priority="391" operator="equal">
      <formula>"No"</formula>
    </cfRule>
    <cfRule type="cellIs" dxfId="370" priority="392" operator="equal">
      <formula>"Yes"</formula>
    </cfRule>
  </conditionalFormatting>
  <conditionalFormatting sqref="E119:E120">
    <cfRule type="cellIs" dxfId="369" priority="389" operator="equal">
      <formula>"No"</formula>
    </cfRule>
    <cfRule type="cellIs" dxfId="368" priority="390" operator="equal">
      <formula>"Yes"</formula>
    </cfRule>
  </conditionalFormatting>
  <conditionalFormatting sqref="D130">
    <cfRule type="cellIs" dxfId="367" priority="387" operator="equal">
      <formula>"No"</formula>
    </cfRule>
    <cfRule type="cellIs" dxfId="366" priority="388" operator="equal">
      <formula>"Yes"</formula>
    </cfRule>
  </conditionalFormatting>
  <conditionalFormatting sqref="D135">
    <cfRule type="cellIs" dxfId="365" priority="383" operator="equal">
      <formula>"No"</formula>
    </cfRule>
    <cfRule type="cellIs" dxfId="364" priority="384" operator="equal">
      <formula>"Yes"</formula>
    </cfRule>
  </conditionalFormatting>
  <conditionalFormatting sqref="D136">
    <cfRule type="cellIs" dxfId="363" priority="381" operator="equal">
      <formula>"No"</formula>
    </cfRule>
    <cfRule type="cellIs" dxfId="362" priority="382" operator="equal">
      <formula>"Yes"</formula>
    </cfRule>
  </conditionalFormatting>
  <conditionalFormatting sqref="E135">
    <cfRule type="cellIs" dxfId="361" priority="379" operator="equal">
      <formula>"No"</formula>
    </cfRule>
    <cfRule type="cellIs" dxfId="360" priority="380" operator="equal">
      <formula>"Yes"</formula>
    </cfRule>
  </conditionalFormatting>
  <conditionalFormatting sqref="D53">
    <cfRule type="cellIs" dxfId="359" priority="375" operator="equal">
      <formula>"No"</formula>
    </cfRule>
    <cfRule type="cellIs" dxfId="358" priority="376" operator="equal">
      <formula>"Yes"</formula>
    </cfRule>
  </conditionalFormatting>
  <conditionalFormatting sqref="E53">
    <cfRule type="cellIs" dxfId="357" priority="373" operator="equal">
      <formula>"No"</formula>
    </cfRule>
    <cfRule type="cellIs" dxfId="356" priority="374" operator="equal">
      <formula>"Yes"</formula>
    </cfRule>
  </conditionalFormatting>
  <conditionalFormatting sqref="V135:V136 V139">
    <cfRule type="cellIs" dxfId="355" priority="369" operator="lessThan">
      <formula>0.5</formula>
    </cfRule>
    <cfRule type="cellIs" dxfId="354" priority="370" operator="between">
      <formula>0.5</formula>
      <formula>0.75</formula>
    </cfRule>
    <cfRule type="cellIs" dxfId="353" priority="371" operator="between">
      <formula>0.75</formula>
      <formula>1</formula>
    </cfRule>
    <cfRule type="cellIs" dxfId="352" priority="372" operator="greaterThan">
      <formula>1</formula>
    </cfRule>
  </conditionalFormatting>
  <conditionalFormatting sqref="X52:X53 X49 X46 X55">
    <cfRule type="cellIs" dxfId="351" priority="289" operator="lessThan">
      <formula>0.5</formula>
    </cfRule>
    <cfRule type="cellIs" dxfId="350" priority="290" operator="between">
      <formula>0.5</formula>
      <formula>0.75</formula>
    </cfRule>
    <cfRule type="cellIs" dxfId="349" priority="291" operator="between">
      <formula>0.75</formula>
      <formula>1</formula>
    </cfRule>
    <cfRule type="cellIs" dxfId="348" priority="292" operator="greaterThan">
      <formula>1</formula>
    </cfRule>
  </conditionalFormatting>
  <conditionalFormatting sqref="I135:I136">
    <cfRule type="cellIs" dxfId="347" priority="361" operator="lessThan">
      <formula>0.5</formula>
    </cfRule>
    <cfRule type="cellIs" dxfId="346" priority="362" operator="between">
      <formula>0.5</formula>
      <formula>0.75</formula>
    </cfRule>
    <cfRule type="cellIs" dxfId="345" priority="363" operator="between">
      <formula>0.75</formula>
      <formula>1</formula>
    </cfRule>
    <cfRule type="cellIs" dxfId="344" priority="364" operator="greaterThan">
      <formula>1</formula>
    </cfRule>
  </conditionalFormatting>
  <conditionalFormatting sqref="I139 L139">
    <cfRule type="cellIs" dxfId="343" priority="357" operator="lessThan">
      <formula>0.5</formula>
    </cfRule>
    <cfRule type="cellIs" dxfId="342" priority="358" operator="between">
      <formula>0.5</formula>
      <formula>0.75</formula>
    </cfRule>
    <cfRule type="cellIs" dxfId="341" priority="359" operator="between">
      <formula>0.75</formula>
      <formula>1</formula>
    </cfRule>
    <cfRule type="cellIs" dxfId="340" priority="360" operator="greaterThan">
      <formula>1</formula>
    </cfRule>
  </conditionalFormatting>
  <conditionalFormatting sqref="I117:I129">
    <cfRule type="cellIs" dxfId="339" priority="353" operator="lessThan">
      <formula>0.5</formula>
    </cfRule>
    <cfRule type="cellIs" dxfId="338" priority="354" operator="between">
      <formula>0.5</formula>
      <formula>0.75</formula>
    </cfRule>
    <cfRule type="cellIs" dxfId="337" priority="355" operator="between">
      <formula>0.75</formula>
      <formula>1</formula>
    </cfRule>
    <cfRule type="cellIs" dxfId="336" priority="356" operator="greaterThan">
      <formula>1</formula>
    </cfRule>
  </conditionalFormatting>
  <conditionalFormatting sqref="I131">
    <cfRule type="cellIs" dxfId="335" priority="349" operator="lessThan">
      <formula>0.5</formula>
    </cfRule>
    <cfRule type="cellIs" dxfId="334" priority="350" operator="between">
      <formula>0.5</formula>
      <formula>0.75</formula>
    </cfRule>
    <cfRule type="cellIs" dxfId="333" priority="351" operator="between">
      <formula>0.75</formula>
      <formula>1</formula>
    </cfRule>
    <cfRule type="cellIs" dxfId="332" priority="352" operator="greaterThan">
      <formula>1</formula>
    </cfRule>
  </conditionalFormatting>
  <conditionalFormatting sqref="V101 V106 V109:V111">
    <cfRule type="cellIs" dxfId="331" priority="345" operator="lessThan">
      <formula>0.5</formula>
    </cfRule>
    <cfRule type="cellIs" dxfId="330" priority="346" operator="between">
      <formula>0.5</formula>
      <formula>0.75</formula>
    </cfRule>
    <cfRule type="cellIs" dxfId="329" priority="347" operator="between">
      <formula>0.75</formula>
      <formula>1</formula>
    </cfRule>
    <cfRule type="cellIs" dxfId="328" priority="348" operator="greaterThan">
      <formula>1</formula>
    </cfRule>
  </conditionalFormatting>
  <conditionalFormatting sqref="V113">
    <cfRule type="cellIs" dxfId="327" priority="341" operator="lessThan">
      <formula>0.5</formula>
    </cfRule>
    <cfRule type="cellIs" dxfId="326" priority="342" operator="between">
      <formula>0.5</formula>
      <formula>0.75</formula>
    </cfRule>
    <cfRule type="cellIs" dxfId="325" priority="343" operator="between">
      <formula>0.75</formula>
      <formula>1</formula>
    </cfRule>
    <cfRule type="cellIs" dxfId="324" priority="344" operator="greaterThan">
      <formula>1</formula>
    </cfRule>
  </conditionalFormatting>
  <conditionalFormatting sqref="I101 I106 I109:I111">
    <cfRule type="cellIs" dxfId="323" priority="337" operator="lessThan">
      <formula>0.5</formula>
    </cfRule>
    <cfRule type="cellIs" dxfId="322" priority="338" operator="between">
      <formula>0.5</formula>
      <formula>0.75</formula>
    </cfRule>
    <cfRule type="cellIs" dxfId="321" priority="339" operator="between">
      <formula>0.75</formula>
      <formula>1</formula>
    </cfRule>
    <cfRule type="cellIs" dxfId="320" priority="340" operator="greaterThan">
      <formula>1</formula>
    </cfRule>
  </conditionalFormatting>
  <conditionalFormatting sqref="I113">
    <cfRule type="cellIs" dxfId="319" priority="333" operator="lessThan">
      <formula>0.5</formula>
    </cfRule>
    <cfRule type="cellIs" dxfId="318" priority="334" operator="between">
      <formula>0.5</formula>
      <formula>0.75</formula>
    </cfRule>
    <cfRule type="cellIs" dxfId="317" priority="335" operator="between">
      <formula>0.75</formula>
      <formula>1</formula>
    </cfRule>
    <cfRule type="cellIs" dxfId="316" priority="336" operator="greaterThan">
      <formula>1</formula>
    </cfRule>
  </conditionalFormatting>
  <conditionalFormatting sqref="V15:V23">
    <cfRule type="cellIs" dxfId="315" priority="321" operator="lessThan">
      <formula>0.5</formula>
    </cfRule>
    <cfRule type="cellIs" dxfId="314" priority="322" operator="between">
      <formula>0.5</formula>
      <formula>0.75</formula>
    </cfRule>
    <cfRule type="cellIs" dxfId="313" priority="323" operator="between">
      <formula>0.75</formula>
      <formula>1</formula>
    </cfRule>
    <cfRule type="cellIs" dxfId="312" priority="324" operator="greaterThan">
      <formula>1</formula>
    </cfRule>
  </conditionalFormatting>
  <conditionalFormatting sqref="V8">
    <cfRule type="cellIs" dxfId="311" priority="329" operator="lessThan">
      <formula>0.5</formula>
    </cfRule>
    <cfRule type="cellIs" dxfId="310" priority="330" operator="between">
      <formula>0.5</formula>
      <formula>0.75</formula>
    </cfRule>
    <cfRule type="cellIs" dxfId="309" priority="331" operator="between">
      <formula>0.75</formula>
      <formula>1</formula>
    </cfRule>
    <cfRule type="cellIs" dxfId="308" priority="332" operator="greaterThan">
      <formula>1</formula>
    </cfRule>
  </conditionalFormatting>
  <conditionalFormatting sqref="V9:V13">
    <cfRule type="cellIs" dxfId="307" priority="325" operator="lessThan">
      <formula>0.5</formula>
    </cfRule>
    <cfRule type="cellIs" dxfId="306" priority="326" operator="between">
      <formula>0.5</formula>
      <formula>0.75</formula>
    </cfRule>
    <cfRule type="cellIs" dxfId="305" priority="327" operator="between">
      <formula>0.75</formula>
      <formula>1</formula>
    </cfRule>
    <cfRule type="cellIs" dxfId="304" priority="328" operator="greaterThan">
      <formula>1</formula>
    </cfRule>
  </conditionalFormatting>
  <conditionalFormatting sqref="I15:I23">
    <cfRule type="cellIs" dxfId="303" priority="309" operator="lessThan">
      <formula>0.5</formula>
    </cfRule>
    <cfRule type="cellIs" dxfId="302" priority="310" operator="between">
      <formula>0.5</formula>
      <formula>0.75</formula>
    </cfRule>
    <cfRule type="cellIs" dxfId="301" priority="311" operator="between">
      <formula>0.75</formula>
      <formula>1</formula>
    </cfRule>
    <cfRule type="cellIs" dxfId="300" priority="312" operator="greaterThan">
      <formula>1</formula>
    </cfRule>
  </conditionalFormatting>
  <conditionalFormatting sqref="I8">
    <cfRule type="cellIs" dxfId="299" priority="317" operator="lessThan">
      <formula>0.5</formula>
    </cfRule>
    <cfRule type="cellIs" dxfId="298" priority="318" operator="between">
      <formula>0.5</formula>
      <formula>0.75</formula>
    </cfRule>
    <cfRule type="cellIs" dxfId="297" priority="319" operator="between">
      <formula>0.75</formula>
      <formula>1</formula>
    </cfRule>
    <cfRule type="cellIs" dxfId="296" priority="320" operator="greaterThan">
      <formula>1</formula>
    </cfRule>
  </conditionalFormatting>
  <conditionalFormatting sqref="X40:X43">
    <cfRule type="cellIs" dxfId="295" priority="293" operator="lessThan">
      <formula>0.5</formula>
    </cfRule>
    <cfRule type="cellIs" dxfId="294" priority="294" operator="between">
      <formula>0.5</formula>
      <formula>0.75</formula>
    </cfRule>
    <cfRule type="cellIs" dxfId="293" priority="295" operator="between">
      <formula>0.75</formula>
      <formula>1</formula>
    </cfRule>
    <cfRule type="cellIs" dxfId="292" priority="296" operator="greaterThan">
      <formula>1</formula>
    </cfRule>
  </conditionalFormatting>
  <conditionalFormatting sqref="I9:I13">
    <cfRule type="cellIs" dxfId="291" priority="305" operator="lessThan">
      <formula>0.5</formula>
    </cfRule>
    <cfRule type="cellIs" dxfId="290" priority="306" operator="between">
      <formula>0.5</formula>
      <formula>0.75</formula>
    </cfRule>
    <cfRule type="cellIs" dxfId="289" priority="307" operator="between">
      <formula>0.75</formula>
      <formula>1</formula>
    </cfRule>
    <cfRule type="cellIs" dxfId="288" priority="308" operator="greaterThan">
      <formula>1</formula>
    </cfRule>
  </conditionalFormatting>
  <conditionalFormatting sqref="X28:X29">
    <cfRule type="cellIs" dxfId="287" priority="301" operator="lessThan">
      <formula>0.5</formula>
    </cfRule>
    <cfRule type="cellIs" dxfId="286" priority="302" operator="between">
      <formula>0.5</formula>
      <formula>0.75</formula>
    </cfRule>
    <cfRule type="cellIs" dxfId="285" priority="303" operator="between">
      <formula>0.75</formula>
      <formula>1</formula>
    </cfRule>
    <cfRule type="cellIs" dxfId="284" priority="304" operator="greaterThan">
      <formula>1</formula>
    </cfRule>
  </conditionalFormatting>
  <conditionalFormatting sqref="X31:X33 X35 X38">
    <cfRule type="cellIs" dxfId="283" priority="297" operator="lessThan">
      <formula>0.5</formula>
    </cfRule>
    <cfRule type="cellIs" dxfId="282" priority="298" operator="between">
      <formula>0.5</formula>
      <formula>0.75</formula>
    </cfRule>
    <cfRule type="cellIs" dxfId="281" priority="299" operator="between">
      <formula>0.75</formula>
      <formula>1</formula>
    </cfRule>
    <cfRule type="cellIs" dxfId="280" priority="300" operator="greaterThan">
      <formula>1</formula>
    </cfRule>
  </conditionalFormatting>
  <conditionalFormatting sqref="I52:I53 I49 I46 I55">
    <cfRule type="cellIs" dxfId="279" priority="273" operator="lessThan">
      <formula>0.5</formula>
    </cfRule>
    <cfRule type="cellIs" dxfId="278" priority="274" operator="between">
      <formula>0.5</formula>
      <formula>0.75</formula>
    </cfRule>
    <cfRule type="cellIs" dxfId="277" priority="275" operator="between">
      <formula>0.75</formula>
      <formula>1</formula>
    </cfRule>
    <cfRule type="cellIs" dxfId="276" priority="276" operator="greaterThan">
      <formula>1</formula>
    </cfRule>
  </conditionalFormatting>
  <conditionalFormatting sqref="I40:I43">
    <cfRule type="cellIs" dxfId="275" priority="277" operator="lessThan">
      <formula>0.5</formula>
    </cfRule>
    <cfRule type="cellIs" dxfId="274" priority="278" operator="between">
      <formula>0.5</formula>
      <formula>0.75</formula>
    </cfRule>
    <cfRule type="cellIs" dxfId="273" priority="279" operator="between">
      <formula>0.75</formula>
      <formula>1</formula>
    </cfRule>
    <cfRule type="cellIs" dxfId="272" priority="280" operator="greaterThan">
      <formula>1</formula>
    </cfRule>
  </conditionalFormatting>
  <conditionalFormatting sqref="I28:I29">
    <cfRule type="cellIs" dxfId="271" priority="285" operator="lessThan">
      <formula>0.5</formula>
    </cfRule>
    <cfRule type="cellIs" dxfId="270" priority="286" operator="between">
      <formula>0.5</formula>
      <formula>0.75</formula>
    </cfRule>
    <cfRule type="cellIs" dxfId="269" priority="287" operator="between">
      <formula>0.75</formula>
      <formula>1</formula>
    </cfRule>
    <cfRule type="cellIs" dxfId="268" priority="288" operator="greaterThan">
      <formula>1</formula>
    </cfRule>
  </conditionalFormatting>
  <conditionalFormatting sqref="I31:I33 I35 I38">
    <cfRule type="cellIs" dxfId="267" priority="281" operator="lessThan">
      <formula>0.5</formula>
    </cfRule>
    <cfRule type="cellIs" dxfId="266" priority="282" operator="between">
      <formula>0.5</formula>
      <formula>0.75</formula>
    </cfRule>
    <cfRule type="cellIs" dxfId="265" priority="283" operator="between">
      <formula>0.75</formula>
      <formula>1</formula>
    </cfRule>
    <cfRule type="cellIs" dxfId="264" priority="284" operator="greaterThan">
      <formula>1</formula>
    </cfRule>
  </conditionalFormatting>
  <conditionalFormatting sqref="X62">
    <cfRule type="cellIs" dxfId="263" priority="269" operator="lessThan">
      <formula>0.5</formula>
    </cfRule>
    <cfRule type="cellIs" dxfId="262" priority="270" operator="between">
      <formula>0.5</formula>
      <formula>0.75</formula>
    </cfRule>
    <cfRule type="cellIs" dxfId="261" priority="271" operator="between">
      <formula>0.75</formula>
      <formula>1</formula>
    </cfRule>
    <cfRule type="cellIs" dxfId="260" priority="272" operator="greaterThan">
      <formula>1</formula>
    </cfRule>
  </conditionalFormatting>
  <conditionalFormatting sqref="X76 X74 X72 X69 X67">
    <cfRule type="cellIs" dxfId="259" priority="265" operator="lessThan">
      <formula>0.5</formula>
    </cfRule>
    <cfRule type="cellIs" dxfId="258" priority="266" operator="between">
      <formula>0.5</formula>
      <formula>0.75</formula>
    </cfRule>
    <cfRule type="cellIs" dxfId="257" priority="267" operator="between">
      <formula>0.75</formula>
      <formula>1</formula>
    </cfRule>
    <cfRule type="cellIs" dxfId="256" priority="268" operator="greaterThan">
      <formula>1</formula>
    </cfRule>
  </conditionalFormatting>
  <conditionalFormatting sqref="I78:I80">
    <cfRule type="cellIs" dxfId="255" priority="257" operator="lessThan">
      <formula>0.5</formula>
    </cfRule>
    <cfRule type="cellIs" dxfId="254" priority="258" operator="between">
      <formula>0.5</formula>
      <formula>0.75</formula>
    </cfRule>
    <cfRule type="cellIs" dxfId="253" priority="259" operator="between">
      <formula>0.75</formula>
      <formula>1</formula>
    </cfRule>
    <cfRule type="cellIs" dxfId="252" priority="260" operator="greaterThan">
      <formula>1</formula>
    </cfRule>
  </conditionalFormatting>
  <conditionalFormatting sqref="I62">
    <cfRule type="cellIs" dxfId="251" priority="253" operator="lessThan">
      <formula>0.5</formula>
    </cfRule>
    <cfRule type="cellIs" dxfId="250" priority="254" operator="between">
      <formula>0.5</formula>
      <formula>0.75</formula>
    </cfRule>
    <cfRule type="cellIs" dxfId="249" priority="255" operator="between">
      <formula>0.75</formula>
      <formula>1</formula>
    </cfRule>
    <cfRule type="cellIs" dxfId="248" priority="256" operator="greaterThan">
      <formula>1</formula>
    </cfRule>
  </conditionalFormatting>
  <conditionalFormatting sqref="I76 I74 I72 I69 I67">
    <cfRule type="cellIs" dxfId="247" priority="249" operator="lessThan">
      <formula>0.5</formula>
    </cfRule>
    <cfRule type="cellIs" dxfId="246" priority="250" operator="between">
      <formula>0.5</formula>
      <formula>0.75</formula>
    </cfRule>
    <cfRule type="cellIs" dxfId="245" priority="251" operator="between">
      <formula>0.75</formula>
      <formula>1</formula>
    </cfRule>
    <cfRule type="cellIs" dxfId="244" priority="252" operator="greaterThan">
      <formula>1</formula>
    </cfRule>
  </conditionalFormatting>
  <conditionalFormatting sqref="W90:W95 W97">
    <cfRule type="cellIs" dxfId="243" priority="245" operator="lessThan">
      <formula>0.5</formula>
    </cfRule>
    <cfRule type="cellIs" dxfId="242" priority="246" operator="between">
      <formula>0.5</formula>
      <formula>0.75</formula>
    </cfRule>
    <cfRule type="cellIs" dxfId="241" priority="247" operator="between">
      <formula>0.75</formula>
      <formula>1</formula>
    </cfRule>
    <cfRule type="cellIs" dxfId="240" priority="248" operator="greaterThan">
      <formula>1</formula>
    </cfRule>
  </conditionalFormatting>
  <conditionalFormatting sqref="I90:I95 I97 L90:L95 L97">
    <cfRule type="cellIs" dxfId="239" priority="241" operator="lessThan">
      <formula>0.5</formula>
    </cfRule>
    <cfRule type="cellIs" dxfId="238" priority="242" operator="between">
      <formula>0.5</formula>
      <formula>0.75</formula>
    </cfRule>
    <cfRule type="cellIs" dxfId="237" priority="243" operator="between">
      <formula>0.75</formula>
      <formula>1</formula>
    </cfRule>
    <cfRule type="cellIs" dxfId="236" priority="244" operator="greaterThan">
      <formula>1</formula>
    </cfRule>
  </conditionalFormatting>
  <conditionalFormatting sqref="AJ8:AJ13 AL8:AL13 AJ130 AL130 AJ125:AJ128 AL125:AL128 AJ117:AJ118 AJ121:AJ123 AL117:AL118 AL121:AL123">
    <cfRule type="cellIs" dxfId="235" priority="237" operator="lessThan">
      <formula>0.5</formula>
    </cfRule>
    <cfRule type="cellIs" dxfId="234" priority="238" operator="between">
      <formula>0.5</formula>
      <formula>0.75</formula>
    </cfRule>
    <cfRule type="cellIs" dxfId="233" priority="239" operator="between">
      <formula>0.75</formula>
      <formula>1</formula>
    </cfRule>
    <cfRule type="cellIs" dxfId="232" priority="240" operator="greaterThan">
      <formula>1</formula>
    </cfRule>
  </conditionalFormatting>
  <conditionalFormatting sqref="AJ15:AJ21">
    <cfRule type="cellIs" dxfId="231" priority="233" operator="lessThan">
      <formula>0.5</formula>
    </cfRule>
    <cfRule type="cellIs" dxfId="230" priority="234" operator="between">
      <formula>0.5</formula>
      <formula>0.75</formula>
    </cfRule>
    <cfRule type="cellIs" dxfId="229" priority="235" operator="between">
      <formula>0.75</formula>
      <formula>1</formula>
    </cfRule>
    <cfRule type="cellIs" dxfId="228" priority="236" operator="greaterThan">
      <formula>1</formula>
    </cfRule>
  </conditionalFormatting>
  <conditionalFormatting sqref="AL15:AL21">
    <cfRule type="cellIs" dxfId="227" priority="229" operator="lessThan">
      <formula>0.5</formula>
    </cfRule>
    <cfRule type="cellIs" dxfId="226" priority="230" operator="between">
      <formula>0.5</formula>
      <formula>0.75</formula>
    </cfRule>
    <cfRule type="cellIs" dxfId="225" priority="231" operator="between">
      <formula>0.75</formula>
      <formula>1</formula>
    </cfRule>
    <cfRule type="cellIs" dxfId="224" priority="232" operator="greaterThan">
      <formula>1</formula>
    </cfRule>
  </conditionalFormatting>
  <conditionalFormatting sqref="AJ23">
    <cfRule type="cellIs" dxfId="223" priority="225" operator="lessThan">
      <formula>0.5</formula>
    </cfRule>
    <cfRule type="cellIs" dxfId="222" priority="226" operator="between">
      <formula>0.5</formula>
      <formula>0.75</formula>
    </cfRule>
    <cfRule type="cellIs" dxfId="221" priority="227" operator="between">
      <formula>0.75</formula>
      <formula>1</formula>
    </cfRule>
    <cfRule type="cellIs" dxfId="220" priority="228" operator="greaterThan">
      <formula>1</formula>
    </cfRule>
  </conditionalFormatting>
  <conditionalFormatting sqref="AL23">
    <cfRule type="cellIs" dxfId="219" priority="221" operator="lessThan">
      <formula>0.5</formula>
    </cfRule>
    <cfRule type="cellIs" dxfId="218" priority="222" operator="between">
      <formula>0.5</formula>
      <formula>0.75</formula>
    </cfRule>
    <cfRule type="cellIs" dxfId="217" priority="223" operator="between">
      <formula>0.75</formula>
      <formula>1</formula>
    </cfRule>
    <cfRule type="cellIs" dxfId="216" priority="224" operator="greaterThan">
      <formula>1</formula>
    </cfRule>
  </conditionalFormatting>
  <conditionalFormatting sqref="AL55">
    <cfRule type="cellIs" dxfId="215" priority="141" operator="lessThan">
      <formula>0.5</formula>
    </cfRule>
    <cfRule type="cellIs" dxfId="214" priority="142" operator="between">
      <formula>0.5</formula>
      <formula>0.75</formula>
    </cfRule>
    <cfRule type="cellIs" dxfId="213" priority="143" operator="between">
      <formula>0.75</formula>
      <formula>1</formula>
    </cfRule>
    <cfRule type="cellIs" dxfId="212" priority="144" operator="greaterThan">
      <formula>1</formula>
    </cfRule>
  </conditionalFormatting>
  <conditionalFormatting sqref="AL80">
    <cfRule type="cellIs" dxfId="211" priority="85" operator="lessThan">
      <formula>0.5</formula>
    </cfRule>
    <cfRule type="cellIs" dxfId="210" priority="86" operator="between">
      <formula>0.5</formula>
      <formula>0.75</formula>
    </cfRule>
    <cfRule type="cellIs" dxfId="209" priority="87" operator="between">
      <formula>0.75</formula>
      <formula>1</formula>
    </cfRule>
    <cfRule type="cellIs" dxfId="208" priority="88" operator="greaterThan">
      <formula>1</formula>
    </cfRule>
  </conditionalFormatting>
  <conditionalFormatting sqref="L8:L13">
    <cfRule type="cellIs" dxfId="207" priority="217" operator="lessThan">
      <formula>0.5</formula>
    </cfRule>
    <cfRule type="cellIs" dxfId="206" priority="218" operator="between">
      <formula>0.5</formula>
      <formula>0.75</formula>
    </cfRule>
    <cfRule type="cellIs" dxfId="205" priority="219" operator="between">
      <formula>0.75</formula>
      <formula>1</formula>
    </cfRule>
    <cfRule type="cellIs" dxfId="204" priority="220" operator="greaterThan">
      <formula>1</formula>
    </cfRule>
  </conditionalFormatting>
  <conditionalFormatting sqref="L15:L21">
    <cfRule type="cellIs" dxfId="203" priority="213" operator="lessThan">
      <formula>0.5</formula>
    </cfRule>
    <cfRule type="cellIs" dxfId="202" priority="214" operator="between">
      <formula>0.5</formula>
      <formula>0.75</formula>
    </cfRule>
    <cfRule type="cellIs" dxfId="201" priority="215" operator="between">
      <formula>0.75</formula>
      <formula>1</formula>
    </cfRule>
    <cfRule type="cellIs" dxfId="200" priority="216" operator="greaterThan">
      <formula>1</formula>
    </cfRule>
  </conditionalFormatting>
  <conditionalFormatting sqref="L23">
    <cfRule type="cellIs" dxfId="199" priority="209" operator="lessThan">
      <formula>0.5</formula>
    </cfRule>
    <cfRule type="cellIs" dxfId="198" priority="210" operator="between">
      <formula>0.5</formula>
      <formula>0.75</formula>
    </cfRule>
    <cfRule type="cellIs" dxfId="197" priority="211" operator="between">
      <formula>0.75</formula>
      <formula>1</formula>
    </cfRule>
    <cfRule type="cellIs" dxfId="196" priority="212" operator="greaterThan">
      <formula>1</formula>
    </cfRule>
  </conditionalFormatting>
  <conditionalFormatting sqref="AJ28:AJ29 AL28:AL29">
    <cfRule type="cellIs" dxfId="195" priority="205" operator="lessThan">
      <formula>0.5</formula>
    </cfRule>
    <cfRule type="cellIs" dxfId="194" priority="206" operator="between">
      <formula>0.5</formula>
      <formula>0.75</formula>
    </cfRule>
    <cfRule type="cellIs" dxfId="193" priority="207" operator="between">
      <formula>0.75</formula>
      <formula>1</formula>
    </cfRule>
    <cfRule type="cellIs" dxfId="192" priority="208" operator="greaterThan">
      <formula>1</formula>
    </cfRule>
  </conditionalFormatting>
  <conditionalFormatting sqref="AJ31:AJ33">
    <cfRule type="cellIs" dxfId="191" priority="201" operator="lessThan">
      <formula>0.5</formula>
    </cfRule>
    <cfRule type="cellIs" dxfId="190" priority="202" operator="between">
      <formula>0.5</formula>
      <formula>0.75</formula>
    </cfRule>
    <cfRule type="cellIs" dxfId="189" priority="203" operator="between">
      <formula>0.75</formula>
      <formula>1</formula>
    </cfRule>
    <cfRule type="cellIs" dxfId="188" priority="204" operator="greaterThan">
      <formula>1</formula>
    </cfRule>
  </conditionalFormatting>
  <conditionalFormatting sqref="AJ35">
    <cfRule type="cellIs" dxfId="187" priority="197" operator="lessThan">
      <formula>0.5</formula>
    </cfRule>
    <cfRule type="cellIs" dxfId="186" priority="198" operator="between">
      <formula>0.5</formula>
      <formula>0.75</formula>
    </cfRule>
    <cfRule type="cellIs" dxfId="185" priority="199" operator="between">
      <formula>0.75</formula>
      <formula>1</formula>
    </cfRule>
    <cfRule type="cellIs" dxfId="184" priority="200" operator="greaterThan">
      <formula>1</formula>
    </cfRule>
  </conditionalFormatting>
  <conditionalFormatting sqref="AJ37:AJ38">
    <cfRule type="cellIs" dxfId="183" priority="193" operator="lessThan">
      <formula>0.5</formula>
    </cfRule>
    <cfRule type="cellIs" dxfId="182" priority="194" operator="between">
      <formula>0.5</formula>
      <formula>0.75</formula>
    </cfRule>
    <cfRule type="cellIs" dxfId="181" priority="195" operator="between">
      <formula>0.75</formula>
      <formula>1</formula>
    </cfRule>
    <cfRule type="cellIs" dxfId="180" priority="196" operator="greaterThan">
      <formula>1</formula>
    </cfRule>
  </conditionalFormatting>
  <conditionalFormatting sqref="AJ40:AJ43">
    <cfRule type="cellIs" dxfId="179" priority="189" operator="lessThan">
      <formula>0.5</formula>
    </cfRule>
    <cfRule type="cellIs" dxfId="178" priority="190" operator="between">
      <formula>0.5</formula>
      <formula>0.75</formula>
    </cfRule>
    <cfRule type="cellIs" dxfId="177" priority="191" operator="between">
      <formula>0.75</formula>
      <formula>1</formula>
    </cfRule>
    <cfRule type="cellIs" dxfId="176" priority="192" operator="greaterThan">
      <formula>1</formula>
    </cfRule>
  </conditionalFormatting>
  <conditionalFormatting sqref="AJ46">
    <cfRule type="cellIs" dxfId="175" priority="185" operator="lessThan">
      <formula>0.5</formula>
    </cfRule>
    <cfRule type="cellIs" dxfId="174" priority="186" operator="between">
      <formula>0.5</formula>
      <formula>0.75</formula>
    </cfRule>
    <cfRule type="cellIs" dxfId="173" priority="187" operator="between">
      <formula>0.75</formula>
      <formula>1</formula>
    </cfRule>
    <cfRule type="cellIs" dxfId="172" priority="188" operator="greaterThan">
      <formula>1</formula>
    </cfRule>
  </conditionalFormatting>
  <conditionalFormatting sqref="AJ49">
    <cfRule type="cellIs" dxfId="171" priority="181" operator="lessThan">
      <formula>0.5</formula>
    </cfRule>
    <cfRule type="cellIs" dxfId="170" priority="182" operator="between">
      <formula>0.5</formula>
      <formula>0.75</formula>
    </cfRule>
    <cfRule type="cellIs" dxfId="169" priority="183" operator="between">
      <formula>0.75</formula>
      <formula>1</formula>
    </cfRule>
    <cfRule type="cellIs" dxfId="168" priority="184" operator="greaterThan">
      <formula>1</formula>
    </cfRule>
  </conditionalFormatting>
  <conditionalFormatting sqref="AJ52">
    <cfRule type="cellIs" dxfId="167" priority="177" operator="lessThan">
      <formula>0.5</formula>
    </cfRule>
    <cfRule type="cellIs" dxfId="166" priority="178" operator="between">
      <formula>0.5</formula>
      <formula>0.75</formula>
    </cfRule>
    <cfRule type="cellIs" dxfId="165" priority="179" operator="between">
      <formula>0.75</formula>
      <formula>1</formula>
    </cfRule>
    <cfRule type="cellIs" dxfId="164" priority="180" operator="greaterThan">
      <formula>1</formula>
    </cfRule>
  </conditionalFormatting>
  <conditionalFormatting sqref="AL31:AL33">
    <cfRule type="cellIs" dxfId="163" priority="173" operator="lessThan">
      <formula>0.5</formula>
    </cfRule>
    <cfRule type="cellIs" dxfId="162" priority="174" operator="between">
      <formula>0.5</formula>
      <formula>0.75</formula>
    </cfRule>
    <cfRule type="cellIs" dxfId="161" priority="175" operator="between">
      <formula>0.75</formula>
      <formula>1</formula>
    </cfRule>
    <cfRule type="cellIs" dxfId="160" priority="176" operator="greaterThan">
      <formula>1</formula>
    </cfRule>
  </conditionalFormatting>
  <conditionalFormatting sqref="AL35">
    <cfRule type="cellIs" dxfId="159" priority="169" operator="lessThan">
      <formula>0.5</formula>
    </cfRule>
    <cfRule type="cellIs" dxfId="158" priority="170" operator="between">
      <formula>0.5</formula>
      <formula>0.75</formula>
    </cfRule>
    <cfRule type="cellIs" dxfId="157" priority="171" operator="between">
      <formula>0.75</formula>
      <formula>1</formula>
    </cfRule>
    <cfRule type="cellIs" dxfId="156" priority="172" operator="greaterThan">
      <formula>1</formula>
    </cfRule>
  </conditionalFormatting>
  <conditionalFormatting sqref="AL37:AL38">
    <cfRule type="cellIs" dxfId="155" priority="165" operator="lessThan">
      <formula>0.5</formula>
    </cfRule>
    <cfRule type="cellIs" dxfId="154" priority="166" operator="between">
      <formula>0.5</formula>
      <formula>0.75</formula>
    </cfRule>
    <cfRule type="cellIs" dxfId="153" priority="167" operator="between">
      <formula>0.75</formula>
      <formula>1</formula>
    </cfRule>
    <cfRule type="cellIs" dxfId="152" priority="168" operator="greaterThan">
      <formula>1</formula>
    </cfRule>
  </conditionalFormatting>
  <conditionalFormatting sqref="AL40:AL43">
    <cfRule type="cellIs" dxfId="151" priority="161" operator="lessThan">
      <formula>0.5</formula>
    </cfRule>
    <cfRule type="cellIs" dxfId="150" priority="162" operator="between">
      <formula>0.5</formula>
      <formula>0.75</formula>
    </cfRule>
    <cfRule type="cellIs" dxfId="149" priority="163" operator="between">
      <formula>0.75</formula>
      <formula>1</formula>
    </cfRule>
    <cfRule type="cellIs" dxfId="148" priority="164" operator="greaterThan">
      <formula>1</formula>
    </cfRule>
  </conditionalFormatting>
  <conditionalFormatting sqref="AL46">
    <cfRule type="cellIs" dxfId="147" priority="157" operator="lessThan">
      <formula>0.5</formula>
    </cfRule>
    <cfRule type="cellIs" dxfId="146" priority="158" operator="between">
      <formula>0.5</formula>
      <formula>0.75</formula>
    </cfRule>
    <cfRule type="cellIs" dxfId="145" priority="159" operator="between">
      <formula>0.75</formula>
      <formula>1</formula>
    </cfRule>
    <cfRule type="cellIs" dxfId="144" priority="160" operator="greaterThan">
      <formula>1</formula>
    </cfRule>
  </conditionalFormatting>
  <conditionalFormatting sqref="AL49">
    <cfRule type="cellIs" dxfId="143" priority="153" operator="lessThan">
      <formula>0.5</formula>
    </cfRule>
    <cfRule type="cellIs" dxfId="142" priority="154" operator="between">
      <formula>0.5</formula>
      <formula>0.75</formula>
    </cfRule>
    <cfRule type="cellIs" dxfId="141" priority="155" operator="between">
      <formula>0.75</formula>
      <formula>1</formula>
    </cfRule>
    <cfRule type="cellIs" dxfId="140" priority="156" operator="greaterThan">
      <formula>1</formula>
    </cfRule>
  </conditionalFormatting>
  <conditionalFormatting sqref="AL52">
    <cfRule type="cellIs" dxfId="139" priority="149" operator="lessThan">
      <formula>0.5</formula>
    </cfRule>
    <cfRule type="cellIs" dxfId="138" priority="150" operator="between">
      <formula>0.5</formula>
      <formula>0.75</formula>
    </cfRule>
    <cfRule type="cellIs" dxfId="137" priority="151" operator="between">
      <formula>0.75</formula>
      <formula>1</formula>
    </cfRule>
    <cfRule type="cellIs" dxfId="136" priority="152" operator="greaterThan">
      <formula>1</formula>
    </cfRule>
  </conditionalFormatting>
  <conditionalFormatting sqref="AJ55">
    <cfRule type="cellIs" dxfId="135" priority="145" operator="lessThan">
      <formula>0.5</formula>
    </cfRule>
    <cfRule type="cellIs" dxfId="134" priority="146" operator="between">
      <formula>0.5</formula>
      <formula>0.75</formula>
    </cfRule>
    <cfRule type="cellIs" dxfId="133" priority="147" operator="between">
      <formula>0.75</formula>
      <formula>1</formula>
    </cfRule>
    <cfRule type="cellIs" dxfId="132" priority="148" operator="greaterThan">
      <formula>1</formula>
    </cfRule>
  </conditionalFormatting>
  <conditionalFormatting sqref="L28:L29">
    <cfRule type="cellIs" dxfId="131" priority="137" operator="lessThan">
      <formula>0.5</formula>
    </cfRule>
    <cfRule type="cellIs" dxfId="130" priority="138" operator="between">
      <formula>0.5</formula>
      <formula>0.75</formula>
    </cfRule>
    <cfRule type="cellIs" dxfId="129" priority="139" operator="between">
      <formula>0.75</formula>
      <formula>1</formula>
    </cfRule>
    <cfRule type="cellIs" dxfId="128" priority="140" operator="greaterThan">
      <formula>1</formula>
    </cfRule>
  </conditionalFormatting>
  <conditionalFormatting sqref="L31:L33">
    <cfRule type="cellIs" dxfId="127" priority="133" operator="lessThan">
      <formula>0.5</formula>
    </cfRule>
    <cfRule type="cellIs" dxfId="126" priority="134" operator="between">
      <formula>0.5</formula>
      <formula>0.75</formula>
    </cfRule>
    <cfRule type="cellIs" dxfId="125" priority="135" operator="between">
      <formula>0.75</formula>
      <formula>1</formula>
    </cfRule>
    <cfRule type="cellIs" dxfId="124" priority="136" operator="greaterThan">
      <formula>1</formula>
    </cfRule>
  </conditionalFormatting>
  <conditionalFormatting sqref="L35">
    <cfRule type="cellIs" dxfId="123" priority="129" operator="lessThan">
      <formula>0.5</formula>
    </cfRule>
    <cfRule type="cellIs" dxfId="122" priority="130" operator="between">
      <formula>0.5</formula>
      <formula>0.75</formula>
    </cfRule>
    <cfRule type="cellIs" dxfId="121" priority="131" operator="between">
      <formula>0.75</formula>
      <formula>1</formula>
    </cfRule>
    <cfRule type="cellIs" dxfId="120" priority="132" operator="greaterThan">
      <formula>1</formula>
    </cfRule>
  </conditionalFormatting>
  <conditionalFormatting sqref="L37:L38">
    <cfRule type="cellIs" dxfId="119" priority="125" operator="lessThan">
      <formula>0.5</formula>
    </cfRule>
    <cfRule type="cellIs" dxfId="118" priority="126" operator="between">
      <formula>0.5</formula>
      <formula>0.75</formula>
    </cfRule>
    <cfRule type="cellIs" dxfId="117" priority="127" operator="between">
      <formula>0.75</formula>
      <formula>1</formula>
    </cfRule>
    <cfRule type="cellIs" dxfId="116" priority="128" operator="greaterThan">
      <formula>1</formula>
    </cfRule>
  </conditionalFormatting>
  <conditionalFormatting sqref="L40:L43">
    <cfRule type="cellIs" dxfId="115" priority="121" operator="lessThan">
      <formula>0.5</formula>
    </cfRule>
    <cfRule type="cellIs" dxfId="114" priority="122" operator="between">
      <formula>0.5</formula>
      <formula>0.75</formula>
    </cfRule>
    <cfRule type="cellIs" dxfId="113" priority="123" operator="between">
      <formula>0.75</formula>
      <formula>1</formula>
    </cfRule>
    <cfRule type="cellIs" dxfId="112" priority="124" operator="greaterThan">
      <formula>1</formula>
    </cfRule>
  </conditionalFormatting>
  <conditionalFormatting sqref="L46">
    <cfRule type="cellIs" dxfId="111" priority="117" operator="lessThan">
      <formula>0.5</formula>
    </cfRule>
    <cfRule type="cellIs" dxfId="110" priority="118" operator="between">
      <formula>0.5</formula>
      <formula>0.75</formula>
    </cfRule>
    <cfRule type="cellIs" dxfId="109" priority="119" operator="between">
      <formula>0.75</formula>
      <formula>1</formula>
    </cfRule>
    <cfRule type="cellIs" dxfId="108" priority="120" operator="greaterThan">
      <formula>1</formula>
    </cfRule>
  </conditionalFormatting>
  <conditionalFormatting sqref="L49">
    <cfRule type="cellIs" dxfId="107" priority="113" operator="lessThan">
      <formula>0.5</formula>
    </cfRule>
    <cfRule type="cellIs" dxfId="106" priority="114" operator="between">
      <formula>0.5</formula>
      <formula>0.75</formula>
    </cfRule>
    <cfRule type="cellIs" dxfId="105" priority="115" operator="between">
      <formula>0.75</formula>
      <formula>1</formula>
    </cfRule>
    <cfRule type="cellIs" dxfId="104" priority="116" operator="greaterThan">
      <formula>1</formula>
    </cfRule>
  </conditionalFormatting>
  <conditionalFormatting sqref="L52">
    <cfRule type="cellIs" dxfId="103" priority="109" operator="lessThan">
      <formula>0.5</formula>
    </cfRule>
    <cfRule type="cellIs" dxfId="102" priority="110" operator="between">
      <formula>0.5</formula>
      <formula>0.75</formula>
    </cfRule>
    <cfRule type="cellIs" dxfId="101" priority="111" operator="between">
      <formula>0.75</formula>
      <formula>1</formula>
    </cfRule>
    <cfRule type="cellIs" dxfId="100" priority="112" operator="greaterThan">
      <formula>1</formula>
    </cfRule>
  </conditionalFormatting>
  <conditionalFormatting sqref="L55">
    <cfRule type="cellIs" dxfId="99" priority="105" operator="lessThan">
      <formula>0.5</formula>
    </cfRule>
    <cfRule type="cellIs" dxfId="98" priority="106" operator="between">
      <formula>0.5</formula>
      <formula>0.75</formula>
    </cfRule>
    <cfRule type="cellIs" dxfId="97" priority="107" operator="between">
      <formula>0.75</formula>
      <formula>1</formula>
    </cfRule>
    <cfRule type="cellIs" dxfId="96" priority="108" operator="greaterThan">
      <formula>1</formula>
    </cfRule>
  </conditionalFormatting>
  <conditionalFormatting sqref="AJ62 AL62">
    <cfRule type="cellIs" dxfId="95" priority="101" operator="lessThan">
      <formula>0.5</formula>
    </cfRule>
    <cfRule type="cellIs" dxfId="94" priority="102" operator="between">
      <formula>0.5</formula>
      <formula>0.75</formula>
    </cfRule>
    <cfRule type="cellIs" dxfId="93" priority="103" operator="between">
      <formula>0.75</formula>
      <formula>1</formula>
    </cfRule>
    <cfRule type="cellIs" dxfId="92" priority="104" operator="greaterThan">
      <formula>1</formula>
    </cfRule>
  </conditionalFormatting>
  <conditionalFormatting sqref="AJ64 AL64">
    <cfRule type="cellIs" dxfId="91" priority="97" operator="lessThan">
      <formula>0.5</formula>
    </cfRule>
    <cfRule type="cellIs" dxfId="90" priority="98" operator="between">
      <formula>0.5</formula>
      <formula>0.75</formula>
    </cfRule>
    <cfRule type="cellIs" dxfId="89" priority="99" operator="between">
      <formula>0.75</formula>
      <formula>1</formula>
    </cfRule>
    <cfRule type="cellIs" dxfId="88" priority="100" operator="greaterThan">
      <formula>1</formula>
    </cfRule>
  </conditionalFormatting>
  <conditionalFormatting sqref="AJ78:AJ79 AL78:AL79">
    <cfRule type="cellIs" dxfId="87" priority="93" operator="lessThan">
      <formula>0.5</formula>
    </cfRule>
    <cfRule type="cellIs" dxfId="86" priority="94" operator="between">
      <formula>0.5</formula>
      <formula>0.75</formula>
    </cfRule>
    <cfRule type="cellIs" dxfId="85" priority="95" operator="between">
      <formula>0.75</formula>
      <formula>1</formula>
    </cfRule>
    <cfRule type="cellIs" dxfId="84" priority="96" operator="greaterThan">
      <formula>1</formula>
    </cfRule>
  </conditionalFormatting>
  <conditionalFormatting sqref="AJ80">
    <cfRule type="cellIs" dxfId="83" priority="89" operator="lessThan">
      <formula>0.5</formula>
    </cfRule>
    <cfRule type="cellIs" dxfId="82" priority="90" operator="between">
      <formula>0.5</formula>
      <formula>0.75</formula>
    </cfRule>
    <cfRule type="cellIs" dxfId="81" priority="91" operator="between">
      <formula>0.75</formula>
      <formula>1</formula>
    </cfRule>
    <cfRule type="cellIs" dxfId="80" priority="92" operator="greaterThan">
      <formula>1</formula>
    </cfRule>
  </conditionalFormatting>
  <conditionalFormatting sqref="L62">
    <cfRule type="cellIs" dxfId="79" priority="81" operator="lessThan">
      <formula>0.5</formula>
    </cfRule>
    <cfRule type="cellIs" dxfId="78" priority="82" operator="between">
      <formula>0.5</formula>
      <formula>0.75</formula>
    </cfRule>
    <cfRule type="cellIs" dxfId="77" priority="83" operator="between">
      <formula>0.75</formula>
      <formula>1</formula>
    </cfRule>
    <cfRule type="cellIs" dxfId="76" priority="84" operator="greaterThan">
      <formula>1</formula>
    </cfRule>
  </conditionalFormatting>
  <conditionalFormatting sqref="L64">
    <cfRule type="cellIs" dxfId="75" priority="77" operator="lessThan">
      <formula>0.5</formula>
    </cfRule>
    <cfRule type="cellIs" dxfId="74" priority="78" operator="between">
      <formula>0.5</formula>
      <formula>0.75</formula>
    </cfRule>
    <cfRule type="cellIs" dxfId="73" priority="79" operator="between">
      <formula>0.75</formula>
      <formula>1</formula>
    </cfRule>
    <cfRule type="cellIs" dxfId="72" priority="80" operator="greaterThan">
      <formula>1</formula>
    </cfRule>
  </conditionalFormatting>
  <conditionalFormatting sqref="L78:L79">
    <cfRule type="cellIs" dxfId="71" priority="73" operator="lessThan">
      <formula>0.5</formula>
    </cfRule>
    <cfRule type="cellIs" dxfId="70" priority="74" operator="between">
      <formula>0.5</formula>
      <formula>0.75</formula>
    </cfRule>
    <cfRule type="cellIs" dxfId="69" priority="75" operator="between">
      <formula>0.75</formula>
      <formula>1</formula>
    </cfRule>
    <cfRule type="cellIs" dxfId="68" priority="76" operator="greaterThan">
      <formula>1</formula>
    </cfRule>
  </conditionalFormatting>
  <conditionalFormatting sqref="L80">
    <cfRule type="cellIs" dxfId="67" priority="69" operator="lessThan">
      <formula>0.5</formula>
    </cfRule>
    <cfRule type="cellIs" dxfId="66" priority="70" operator="between">
      <formula>0.5</formula>
      <formula>0.75</formula>
    </cfRule>
    <cfRule type="cellIs" dxfId="65" priority="71" operator="between">
      <formula>0.75</formula>
      <formula>1</formula>
    </cfRule>
    <cfRule type="cellIs" dxfId="64" priority="72" operator="greaterThan">
      <formula>1</formula>
    </cfRule>
  </conditionalFormatting>
  <conditionalFormatting sqref="AJ90:AJ95 AL90:AL95">
    <cfRule type="cellIs" dxfId="63" priority="65" operator="lessThan">
      <formula>0.5</formula>
    </cfRule>
    <cfRule type="cellIs" dxfId="62" priority="66" operator="between">
      <formula>0.5</formula>
      <formula>0.75</formula>
    </cfRule>
    <cfRule type="cellIs" dxfId="61" priority="67" operator="between">
      <formula>0.75</formula>
      <formula>1</formula>
    </cfRule>
    <cfRule type="cellIs" dxfId="60" priority="68" operator="greaterThan">
      <formula>1</formula>
    </cfRule>
  </conditionalFormatting>
  <conditionalFormatting sqref="AJ97">
    <cfRule type="cellIs" dxfId="59" priority="61" operator="lessThan">
      <formula>0.5</formula>
    </cfRule>
    <cfRule type="cellIs" dxfId="58" priority="62" operator="between">
      <formula>0.5</formula>
      <formula>0.75</formula>
    </cfRule>
    <cfRule type="cellIs" dxfId="57" priority="63" operator="between">
      <formula>0.75</formula>
      <formula>1</formula>
    </cfRule>
    <cfRule type="cellIs" dxfId="56" priority="64" operator="greaterThan">
      <formula>1</formula>
    </cfRule>
  </conditionalFormatting>
  <conditionalFormatting sqref="AL97">
    <cfRule type="cellIs" dxfId="55" priority="57" operator="lessThan">
      <formula>0.5</formula>
    </cfRule>
    <cfRule type="cellIs" dxfId="54" priority="58" operator="between">
      <formula>0.5</formula>
      <formula>0.75</formula>
    </cfRule>
    <cfRule type="cellIs" dxfId="53" priority="59" operator="between">
      <formula>0.75</formula>
      <formula>1</formula>
    </cfRule>
    <cfRule type="cellIs" dxfId="52" priority="60" operator="greaterThan">
      <formula>1</formula>
    </cfRule>
  </conditionalFormatting>
  <conditionalFormatting sqref="AJ101 AJ103:AJ104 AJ106 AJ109:AJ111 AL109:AL111 AL106 AL103:AL104 AL101">
    <cfRule type="cellIs" dxfId="51" priority="53" operator="lessThan">
      <formula>0.5</formula>
    </cfRule>
    <cfRule type="cellIs" dxfId="50" priority="54" operator="between">
      <formula>0.5</formula>
      <formula>0.75</formula>
    </cfRule>
    <cfRule type="cellIs" dxfId="49" priority="55" operator="between">
      <formula>0.75</formula>
      <formula>1</formula>
    </cfRule>
    <cfRule type="cellIs" dxfId="48" priority="56" operator="greaterThan">
      <formula>1</formula>
    </cfRule>
  </conditionalFormatting>
  <conditionalFormatting sqref="AJ113">
    <cfRule type="cellIs" dxfId="47" priority="49" operator="lessThan">
      <formula>0.5</formula>
    </cfRule>
    <cfRule type="cellIs" dxfId="46" priority="50" operator="between">
      <formula>0.5</formula>
      <formula>0.75</formula>
    </cfRule>
    <cfRule type="cellIs" dxfId="45" priority="51" operator="between">
      <formula>0.75</formula>
      <formula>1</formula>
    </cfRule>
    <cfRule type="cellIs" dxfId="44" priority="52" operator="greaterThan">
      <formula>1</formula>
    </cfRule>
  </conditionalFormatting>
  <conditionalFormatting sqref="AL113">
    <cfRule type="cellIs" dxfId="43" priority="45" operator="lessThan">
      <formula>0.5</formula>
    </cfRule>
    <cfRule type="cellIs" dxfId="42" priority="46" operator="between">
      <formula>0.5</formula>
      <formula>0.75</formula>
    </cfRule>
    <cfRule type="cellIs" dxfId="41" priority="47" operator="between">
      <formula>0.75</formula>
      <formula>1</formula>
    </cfRule>
    <cfRule type="cellIs" dxfId="40" priority="48" operator="greaterThan">
      <formula>1</formula>
    </cfRule>
  </conditionalFormatting>
  <conditionalFormatting sqref="AL131">
    <cfRule type="cellIs" dxfId="39" priority="25" operator="lessThan">
      <formula>0.5</formula>
    </cfRule>
    <cfRule type="cellIs" dxfId="38" priority="26" operator="between">
      <formula>0.5</formula>
      <formula>0.75</formula>
    </cfRule>
    <cfRule type="cellIs" dxfId="37" priority="27" operator="between">
      <formula>0.75</formula>
      <formula>1</formula>
    </cfRule>
    <cfRule type="cellIs" dxfId="36" priority="28" operator="greaterThan">
      <formula>1</formula>
    </cfRule>
  </conditionalFormatting>
  <conditionalFormatting sqref="L101 L103:L104 L106 L109:L111">
    <cfRule type="cellIs" dxfId="35" priority="41" operator="lessThan">
      <formula>0.5</formula>
    </cfRule>
    <cfRule type="cellIs" dxfId="34" priority="42" operator="between">
      <formula>0.5</formula>
      <formula>0.75</formula>
    </cfRule>
    <cfRule type="cellIs" dxfId="33" priority="43" operator="between">
      <formula>0.75</formula>
      <formula>1</formula>
    </cfRule>
    <cfRule type="cellIs" dxfId="32" priority="44" operator="greaterThan">
      <formula>1</formula>
    </cfRule>
  </conditionalFormatting>
  <conditionalFormatting sqref="L113">
    <cfRule type="cellIs" dxfId="31" priority="37" operator="lessThan">
      <formula>0.5</formula>
    </cfRule>
    <cfRule type="cellIs" dxfId="30" priority="38" operator="between">
      <formula>0.5</formula>
      <formula>0.75</formula>
    </cfRule>
    <cfRule type="cellIs" dxfId="29" priority="39" operator="between">
      <formula>0.75</formula>
      <formula>1</formula>
    </cfRule>
    <cfRule type="cellIs" dxfId="28" priority="40" operator="greaterThan">
      <formula>1</formula>
    </cfRule>
  </conditionalFormatting>
  <conditionalFormatting sqref="AJ131">
    <cfRule type="cellIs" dxfId="27" priority="29" operator="lessThan">
      <formula>0.5</formula>
    </cfRule>
    <cfRule type="cellIs" dxfId="26" priority="30" operator="between">
      <formula>0.5</formula>
      <formula>0.75</formula>
    </cfRule>
    <cfRule type="cellIs" dxfId="25" priority="31" operator="between">
      <formula>0.75</formula>
      <formula>1</formula>
    </cfRule>
    <cfRule type="cellIs" dxfId="24" priority="32" operator="greaterThan">
      <formula>1</formula>
    </cfRule>
  </conditionalFormatting>
  <conditionalFormatting sqref="L130 L125:L128 L117:L118 L121:L123">
    <cfRule type="cellIs" dxfId="23" priority="21" operator="lessThan">
      <formula>0.5</formula>
    </cfRule>
    <cfRule type="cellIs" dxfId="22" priority="22" operator="between">
      <formula>0.5</formula>
      <formula>0.75</formula>
    </cfRule>
    <cfRule type="cellIs" dxfId="21" priority="23" operator="between">
      <formula>0.75</formula>
      <formula>1</formula>
    </cfRule>
    <cfRule type="cellIs" dxfId="20" priority="24" operator="greaterThan">
      <formula>1</formula>
    </cfRule>
  </conditionalFormatting>
  <conditionalFormatting sqref="L131">
    <cfRule type="cellIs" dxfId="19" priority="17" operator="lessThan">
      <formula>0.5</formula>
    </cfRule>
    <cfRule type="cellIs" dxfId="18" priority="18" operator="between">
      <formula>0.5</formula>
      <formula>0.75</formula>
    </cfRule>
    <cfRule type="cellIs" dxfId="17" priority="19" operator="between">
      <formula>0.75</formula>
      <formula>1</formula>
    </cfRule>
    <cfRule type="cellIs" dxfId="16" priority="20" operator="greaterThan">
      <formula>1</formula>
    </cfRule>
  </conditionalFormatting>
  <conditionalFormatting sqref="AJ135 AL135">
    <cfRule type="cellIs" dxfId="15" priority="13" operator="lessThan">
      <formula>0.5</formula>
    </cfRule>
    <cfRule type="cellIs" dxfId="14" priority="14" operator="between">
      <formula>0.5</formula>
      <formula>0.75</formula>
    </cfRule>
    <cfRule type="cellIs" dxfId="13" priority="15" operator="between">
      <formula>0.75</formula>
      <formula>1</formula>
    </cfRule>
    <cfRule type="cellIs" dxfId="12" priority="16" operator="greaterThan">
      <formula>1</formula>
    </cfRule>
  </conditionalFormatting>
  <conditionalFormatting sqref="AL139">
    <cfRule type="cellIs" dxfId="11" priority="5" operator="lessThan">
      <formula>0.5</formula>
    </cfRule>
    <cfRule type="cellIs" dxfId="10" priority="6" operator="between">
      <formula>0.5</formula>
      <formula>0.75</formula>
    </cfRule>
    <cfRule type="cellIs" dxfId="9" priority="7" operator="between">
      <formula>0.75</formula>
      <formula>1</formula>
    </cfRule>
    <cfRule type="cellIs" dxfId="8" priority="8" operator="greaterThan">
      <formula>1</formula>
    </cfRule>
  </conditionalFormatting>
  <conditionalFormatting sqref="AJ139">
    <cfRule type="cellIs" dxfId="7" priority="9" operator="lessThan">
      <formula>0.5</formula>
    </cfRule>
    <cfRule type="cellIs" dxfId="6" priority="10" operator="between">
      <formula>0.5</formula>
      <formula>0.75</formula>
    </cfRule>
    <cfRule type="cellIs" dxfId="5" priority="11" operator="between">
      <formula>0.75</formula>
      <formula>1</formula>
    </cfRule>
    <cfRule type="cellIs" dxfId="4" priority="12" operator="greaterThan">
      <formula>1</formula>
    </cfRule>
  </conditionalFormatting>
  <conditionalFormatting sqref="L135">
    <cfRule type="cellIs" dxfId="3" priority="1" operator="lessThan">
      <formula>0.5</formula>
    </cfRule>
    <cfRule type="cellIs" dxfId="2" priority="2" operator="between">
      <formula>0.5</formula>
      <formula>0.75</formula>
    </cfRule>
    <cfRule type="cellIs" dxfId="1" priority="3" operator="between">
      <formula>0.75</formula>
      <formula>1</formula>
    </cfRule>
    <cfRule type="cellIs" dxfId="0" priority="4" operator="greater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Details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Chew</dc:creator>
  <cp:lastModifiedBy>user</cp:lastModifiedBy>
  <dcterms:created xsi:type="dcterms:W3CDTF">2017-06-28T04:37:51Z</dcterms:created>
  <dcterms:modified xsi:type="dcterms:W3CDTF">2018-04-25T08:40:01Z</dcterms:modified>
</cp:coreProperties>
</file>